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feb397677dcb7cec/Desktop/"/>
    </mc:Choice>
  </mc:AlternateContent>
  <xr:revisionPtr revIDLastSave="11" documentId="8_{61104C1B-E45F-4674-9902-FC738043EEEF}" xr6:coauthVersionLast="47" xr6:coauthVersionMax="47" xr10:uidLastSave="{38AB0E90-4166-4AAF-8FCC-42B1F67D09B7}"/>
  <bookViews>
    <workbookView xWindow="5760" yWindow="3720" windowWidth="17280" windowHeight="9960" activeTab="1" xr2:uid="{00000000-000D-0000-FFFF-FFFF00000000}"/>
  </bookViews>
  <sheets>
    <sheet name="はじめに" sheetId="1" r:id="rId1"/>
    <sheet name="01_ダッシュボード" sheetId="2" r:id="rId2"/>
    <sheet name="06_マスタ" sheetId="3" state="hidden" r:id="rId3"/>
    <sheet name="04_共通チャージエンジン" sheetId="4" state="veryHidden" r:id="rId4"/>
    <sheet name="04A_A契約チャージエンジン" sheetId="5" state="hidden" r:id="rId5"/>
    <sheet name="04C_C契約チャージエンジン" sheetId="6" state="veryHidden" r:id="rId6"/>
    <sheet name="05_共通計算" sheetId="7" state="hidden" r:id="rId7"/>
    <sheet name="03_月次計算" sheetId="8" state="hidden" r:id="rId8"/>
    <sheet name="07_比較" sheetId="9" r:id="rId9"/>
    <sheet name="04N_新契約チャージエンジン" sheetId="10" state="veryHidden" r:id="rId10"/>
  </sheets>
  <definedNames>
    <definedName name="_xlnm.Print_Area" localSheetId="8">'07_比較'!$A$1:$D$22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0" l="1"/>
  <c r="B13" i="10"/>
  <c r="B12" i="10"/>
  <c r="B11" i="10"/>
  <c r="C17" i="9" s="1"/>
  <c r="B5" i="10"/>
  <c r="B9" i="10" s="1"/>
  <c r="C16" i="9" s="1"/>
  <c r="B4" i="10"/>
  <c r="B8" i="10" s="1"/>
  <c r="C15" i="9" s="1"/>
  <c r="AB3" i="10"/>
  <c r="AB2" i="10"/>
  <c r="B4" i="8"/>
  <c r="B3" i="8"/>
  <c r="B3" i="4" s="1"/>
  <c r="B9" i="4" s="1"/>
  <c r="B2" i="8"/>
  <c r="B7" i="8" s="1"/>
  <c r="B10" i="7"/>
  <c r="B7" i="7"/>
  <c r="B16" i="7" s="1"/>
  <c r="B17" i="6" s="1"/>
  <c r="B5" i="7"/>
  <c r="B4" i="7"/>
  <c r="B3" i="7"/>
  <c r="B9" i="7" s="1"/>
  <c r="B2" i="7"/>
  <c r="B8" i="7" s="1"/>
  <c r="B11" i="6"/>
  <c r="B10" i="6"/>
  <c r="B9" i="6"/>
  <c r="B8" i="6"/>
  <c r="B13" i="4"/>
  <c r="B8" i="4"/>
  <c r="B7" i="4"/>
  <c r="B17" i="4" s="1"/>
  <c r="B6" i="4"/>
  <c r="H6" i="4" s="1"/>
  <c r="B5" i="3"/>
  <c r="F33" i="2"/>
  <c r="F22" i="2" s="1"/>
  <c r="E33" i="2"/>
  <c r="F21" i="2" s="1"/>
  <c r="C33" i="2"/>
  <c r="D33" i="2" s="1"/>
  <c r="D32" i="2"/>
  <c r="G32" i="2" s="1"/>
  <c r="H32" i="2" s="1"/>
  <c r="D31" i="2"/>
  <c r="G31" i="2" s="1"/>
  <c r="H31" i="2" s="1"/>
  <c r="D30" i="2"/>
  <c r="G30" i="2" s="1"/>
  <c r="H30" i="2" s="1"/>
  <c r="D29" i="2"/>
  <c r="G29" i="2" s="1"/>
  <c r="H29" i="2" s="1"/>
  <c r="D28" i="2"/>
  <c r="G28" i="2" s="1"/>
  <c r="H28" i="2" s="1"/>
  <c r="F11" i="2"/>
  <c r="D5" i="2"/>
  <c r="D4" i="2"/>
  <c r="F3" i="2"/>
  <c r="F4" i="2" s="1"/>
  <c r="D3" i="2"/>
  <c r="B17" i="9"/>
  <c r="B16" i="9"/>
  <c r="B15" i="9"/>
  <c r="B9" i="9"/>
  <c r="B8" i="9"/>
  <c r="B7" i="9"/>
  <c r="B6" i="9"/>
  <c r="B5" i="9"/>
  <c r="B4" i="9"/>
  <c r="G33" i="2" l="1"/>
  <c r="F15" i="2" s="1"/>
  <c r="F16" i="2" s="1"/>
  <c r="B15" i="4"/>
  <c r="B18" i="9"/>
  <c r="C18" i="9"/>
  <c r="D15" i="9"/>
  <c r="F10" i="2"/>
  <c r="F18" i="2" s="1"/>
  <c r="B15" i="2"/>
  <c r="D17" i="9"/>
  <c r="D16" i="9"/>
  <c r="B14" i="4"/>
  <c r="B19" i="4" s="1"/>
  <c r="B24" i="4" s="1"/>
  <c r="H33" i="2"/>
  <c r="B16" i="4"/>
  <c r="B10" i="4"/>
  <c r="B11" i="7"/>
  <c r="D9" i="2"/>
  <c r="B11" i="4"/>
  <c r="B12" i="7"/>
  <c r="B12" i="4"/>
  <c r="B22" i="4" s="1"/>
  <c r="H3" i="4"/>
  <c r="I3" i="4" s="1"/>
  <c r="B5" i="8"/>
  <c r="D18" i="9" l="1"/>
  <c r="B14" i="2"/>
  <c r="F9" i="2" s="1"/>
  <c r="F17" i="2" s="1"/>
  <c r="B21" i="4"/>
  <c r="G4" i="4"/>
  <c r="G3" i="4"/>
  <c r="B20" i="4"/>
  <c r="G6" i="4"/>
  <c r="G5" i="4"/>
  <c r="B2" i="6"/>
  <c r="B2" i="4"/>
  <c r="C13" i="9"/>
  <c r="B13" i="9"/>
  <c r="B3" i="10"/>
  <c r="B7" i="10" s="1"/>
  <c r="B10" i="10" s="1"/>
  <c r="C14" i="9" s="1"/>
  <c r="B2" i="5"/>
  <c r="B6" i="8"/>
  <c r="B6" i="7" s="1"/>
  <c r="B4" i="5" l="1"/>
  <c r="B8" i="5"/>
  <c r="D13" i="9"/>
  <c r="E3" i="4"/>
  <c r="E4" i="4"/>
  <c r="E6" i="4"/>
  <c r="E5" i="4"/>
  <c r="B4" i="4"/>
  <c r="B6" i="6"/>
  <c r="B15" i="6" s="1"/>
  <c r="B5" i="6"/>
  <c r="B14" i="6" s="1"/>
  <c r="B3" i="6"/>
  <c r="B12" i="6" s="1"/>
  <c r="B4" i="6"/>
  <c r="B13" i="6" s="1"/>
  <c r="B19" i="6"/>
  <c r="D8" i="2" s="1"/>
  <c r="B13" i="7"/>
  <c r="B14" i="7"/>
  <c r="D6" i="2" s="1"/>
  <c r="B15" i="7" l="1"/>
  <c r="B16" i="6"/>
  <c r="B5" i="4"/>
  <c r="H5" i="4" s="1"/>
  <c r="H4" i="4"/>
  <c r="D7" i="2" l="1"/>
  <c r="D10" i="2" s="1"/>
  <c r="B5" i="5"/>
  <c r="B6" i="5" s="1"/>
  <c r="B7" i="5" s="1"/>
  <c r="B9" i="5" s="1"/>
  <c r="B7" i="6"/>
  <c r="B18" i="6" s="1"/>
  <c r="B20" i="6" s="1"/>
  <c r="B14" i="9" l="1"/>
  <c r="D14" i="9" s="1"/>
  <c r="F5" i="2"/>
  <c r="F6" i="2" s="1"/>
  <c r="F7" i="2" s="1"/>
  <c r="F13" i="2" s="1"/>
  <c r="F23" i="2" l="1"/>
  <c r="B19" i="9"/>
  <c r="F19" i="2"/>
  <c r="B20" i="9" l="1"/>
  <c r="C19" i="9"/>
  <c r="C20" i="9" l="1"/>
  <c r="D20" i="9" s="1"/>
  <c r="D19" i="9"/>
</calcChain>
</file>

<file path=xl/sharedStrings.xml><?xml version="1.0" encoding="utf-8"?>
<sst xmlns="http://schemas.openxmlformats.org/spreadsheetml/2006/main" count="239" uniqueCount="172">
  <si>
    <t>SEMC Ver2.0 比較表</t>
  </si>
  <si>
    <t>※このシートは比較表実装ベースです。</t>
  </si>
  <si>
    <t>比較条件</t>
  </si>
  <si>
    <t>契約タイプ</t>
  </si>
  <si>
    <t>24時間営業</t>
  </si>
  <si>
    <t>店舗数</t>
  </si>
  <si>
    <t>加盟年数</t>
  </si>
  <si>
    <t>廃棄率</t>
  </si>
  <si>
    <t>水道光熱費</t>
  </si>
  <si>
    <t>項目</t>
  </si>
  <si>
    <t>C契約</t>
  </si>
  <si>
    <t>新契約</t>
  </si>
  <si>
    <t>差額</t>
  </si>
  <si>
    <t>売上総利益(GP)</t>
  </si>
  <si>
    <t>7-11チャージ</t>
  </si>
  <si>
    <t>24時間営業減額</t>
  </si>
  <si>
    <t>複数店減額</t>
  </si>
  <si>
    <t>水道光熱費負担</t>
  </si>
  <si>
    <t>廃棄負担</t>
  </si>
  <si>
    <t>営業利益</t>
  </si>
  <si>
    <t>最終利益</t>
  </si>
  <si>
    <t>C契約と新契約の差額</t>
  </si>
  <si>
    <t>※数式は未接続（レイアウト完成版）</t>
  </si>
  <si>
    <t>SEMS 月次シミュレーション</t>
  </si>
  <si>
    <t>使い方</t>
  </si>
  <si>
    <t>黄色セルのみ入力してください。その他のセルは自動計算です。</t>
  </si>
  <si>
    <t>更新履歴</t>
  </si>
  <si>
    <t>Ver1.0 配布版</t>
  </si>
  <si>
    <t>免責事項</t>
  </si>
  <si>
    <t>本ツールの結果は参考値です。実際の契約内容・制度を必ずご確認ください。</t>
  </si>
  <si>
    <t>お問い合わせ</t>
  </si>
  <si>
    <t>https://konbinikeiei.com/</t>
  </si>
  <si>
    <t>GP判定</t>
  </si>
  <si>
    <t>初期設定</t>
  </si>
  <si>
    <t>優遇・判定</t>
  </si>
  <si>
    <t>詳細結果</t>
  </si>
  <si>
    <t>Cタイプ</t>
  </si>
  <si>
    <t>商品売上高</t>
  </si>
  <si>
    <t>はい</t>
  </si>
  <si>
    <t>1号店</t>
  </si>
  <si>
    <t>加盟年数減額</t>
  </si>
  <si>
    <t>15年以上</t>
  </si>
  <si>
    <t>年換算GP減額</t>
  </si>
  <si>
    <t>総収入</t>
  </si>
  <si>
    <t>地域</t>
  </si>
  <si>
    <t>C</t>
  </si>
  <si>
    <t>合計減額率</t>
  </si>
  <si>
    <t>雑収入加算後収入</t>
  </si>
  <si>
    <t>月間設定</t>
  </si>
  <si>
    <t>新インセンティブ</t>
  </si>
  <si>
    <t>支出</t>
  </si>
  <si>
    <t>営業日数</t>
  </si>
  <si>
    <t>地域控除額</t>
  </si>
  <si>
    <t>人件費</t>
  </si>
  <si>
    <t>平均日販</t>
  </si>
  <si>
    <t>合計優遇額</t>
  </si>
  <si>
    <t>廃棄</t>
  </si>
  <si>
    <t>粗利率(GP率)</t>
  </si>
  <si>
    <t>その他経費</t>
  </si>
  <si>
    <t>雑収入</t>
  </si>
  <si>
    <t>人件費日数</t>
  </si>
  <si>
    <t>平均時給</t>
  </si>
  <si>
    <t>分析</t>
  </si>
  <si>
    <t>一日の時間数</t>
  </si>
  <si>
    <t>月間労働時間</t>
  </si>
  <si>
    <t>消耗品費</t>
  </si>
  <si>
    <t>一日の人件費</t>
  </si>
  <si>
    <t>電話料</t>
  </si>
  <si>
    <t>一日の廃棄</t>
  </si>
  <si>
    <t>一日の利益</t>
  </si>
  <si>
    <t>保守修繕費</t>
  </si>
  <si>
    <t>月間オーナー夫妻時間数</t>
  </si>
  <si>
    <t>清掃費</t>
  </si>
  <si>
    <t>オーナー時間数</t>
  </si>
  <si>
    <t>雑費</t>
  </si>
  <si>
    <t>奥様時間数</t>
  </si>
  <si>
    <t>その他非課税雑費</t>
  </si>
  <si>
    <t>オーナー夫妻時給</t>
  </si>
  <si>
    <t>基本スケジュール簡易設定</t>
  </si>
  <si>
    <t>1日の時間数設定</t>
  </si>
  <si>
    <t>週間時間数</t>
  </si>
  <si>
    <t>時間帯</t>
  </si>
  <si>
    <t>時給</t>
  </si>
  <si>
    <t>基本時間数</t>
  </si>
  <si>
    <t>週間</t>
  </si>
  <si>
    <t>オーナー</t>
  </si>
  <si>
    <t>奥様</t>
  </si>
  <si>
    <t>PA時間数</t>
  </si>
  <si>
    <t>PA給与</t>
  </si>
  <si>
    <t>５時～９時</t>
  </si>
  <si>
    <t>９時～１３時</t>
  </si>
  <si>
    <t>１３時～１７時</t>
  </si>
  <si>
    <t>１７時～２２時</t>
  </si>
  <si>
    <t>２２時～５時</t>
  </si>
  <si>
    <t>計</t>
  </si>
  <si>
    <t>値</t>
  </si>
  <si>
    <t>日販(万円)</t>
  </si>
  <si>
    <t>GP率(%)</t>
  </si>
  <si>
    <t>GP(万円)</t>
  </si>
  <si>
    <t>帯3率</t>
  </si>
  <si>
    <t>帯4率</t>
  </si>
  <si>
    <t>5年以上</t>
  </si>
  <si>
    <t>年換算5000万</t>
  </si>
  <si>
    <t>年換算7000万</t>
  </si>
  <si>
    <t>24時間減額</t>
  </si>
  <si>
    <t>特別減額</t>
  </si>
  <si>
    <t>04_共通チャージエンジン</t>
  </si>
  <si>
    <t>値/数式</t>
  </si>
  <si>
    <t>累進チャージエンジン</t>
  </si>
  <si>
    <t>GP</t>
  </si>
  <si>
    <t>GP帯</t>
  </si>
  <si>
    <t>対象GP</t>
  </si>
  <si>
    <t>基本率</t>
  </si>
  <si>
    <t>減額後率</t>
  </si>
  <si>
    <t>チャージ額</t>
  </si>
  <si>
    <t>最終チャージ</t>
  </si>
  <si>
    <t>0-250万</t>
  </si>
  <si>
    <t>250-400万</t>
  </si>
  <si>
    <t>年換算GP</t>
  </si>
  <si>
    <t>400-550万</t>
  </si>
  <si>
    <t>250-400対象GP</t>
  </si>
  <si>
    <t>550万超</t>
  </si>
  <si>
    <t>減額率合計</t>
  </si>
  <si>
    <t>550超対象GP</t>
  </si>
  <si>
    <t>帯1 GP(0-250)</t>
  </si>
  <si>
    <t>帯2 GP(250-400)</t>
  </si>
  <si>
    <t>帯3 GP(400-550)</t>
  </si>
  <si>
    <t>帯4 GP(550+)</t>
  </si>
  <si>
    <t>チャージ1</t>
  </si>
  <si>
    <t>帯1率</t>
  </si>
  <si>
    <t>帯2率</t>
  </si>
  <si>
    <t>帯1額</t>
  </si>
  <si>
    <t>帯2額</t>
  </si>
  <si>
    <t>帯3額</t>
  </si>
  <si>
    <t>帯4額</t>
  </si>
  <si>
    <t>GP(円)</t>
  </si>
  <si>
    <t>基本チャージ率</t>
  </si>
  <si>
    <t>基本チャージ</t>
  </si>
  <si>
    <t>GP減額額</t>
  </si>
  <si>
    <t>共通減額後</t>
  </si>
  <si>
    <t>A契約最終チャージ</t>
  </si>
  <si>
    <t>帯1GP</t>
  </si>
  <si>
    <t>帯2GP</t>
  </si>
  <si>
    <t>帯3GP</t>
  </si>
  <si>
    <t>帯4GP</t>
  </si>
  <si>
    <t>累進チャージ合計</t>
  </si>
  <si>
    <t>地域控除</t>
  </si>
  <si>
    <t>共通減額後チャージ</t>
  </si>
  <si>
    <t>新インセンティブ控除</t>
  </si>
  <si>
    <t>C契約最終チャージ</t>
  </si>
  <si>
    <t>TODO 実装</t>
  </si>
  <si>
    <t>減額率自動計算</t>
  </si>
  <si>
    <t>加盟5年以上減額</t>
  </si>
  <si>
    <t>加盟15年以上減額</t>
  </si>
  <si>
    <t>5000万減額</t>
  </si>
  <si>
    <t>7000万減額</t>
  </si>
  <si>
    <t>数式/値</t>
  </si>
  <si>
    <t>平均日販(万円)</t>
  </si>
  <si>
    <t>GP率</t>
  </si>
  <si>
    <t>年間平均日販</t>
  </si>
  <si>
    <t>04N_新契約チャージエンジン</t>
  </si>
  <si>
    <t>Ver2.0補正仕様</t>
  </si>
  <si>
    <t>Ver1.0仕様</t>
  </si>
  <si>
    <t>24時間営業減額率</t>
  </si>
  <si>
    <t>不良品負担</t>
  </si>
  <si>
    <t>複数店減額率</t>
  </si>
  <si>
    <t>店舗区分</t>
  </si>
  <si>
    <t>加盟年数減額率</t>
  </si>
  <si>
    <t>年換算GP減額率</t>
  </si>
  <si>
    <t>24時間営業固定減額</t>
  </si>
  <si>
    <t>複数店固定減額</t>
  </si>
  <si>
    <t>最大固定減額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</si>
</sst>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_ "/>
  </numFmts>
  <fonts count="3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0"/>
      <name val="ＭＳ Ｐゴシック"/>
      <family val="3"/>
      <charset val="128"/>
      <scheme val="minor"/>
    </font>
    <font>
      <sz val="11"/>
      <color theme="0"/>
      <name val="ＭＳ Ｐゴシック"/>
      <family val="2"/>
      <scheme val="minor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FFFFFF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i/>
      <sz val="11"/>
      <name val="ＭＳ Ｐゴシック"/>
      <family val="3"/>
      <charset val="128"/>
    </font>
    <font>
      <b/>
      <sz val="18"/>
      <color rgb="FFFFFFFF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1F4E78"/>
      </patternFill>
    </fill>
    <fill>
      <patternFill patternType="solid">
        <fgColor rgb="FFE2F0D9"/>
      </patternFill>
    </fill>
    <fill>
      <patternFill patternType="solid">
        <fgColor theme="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1F4E78"/>
      </patternFill>
    </fill>
    <fill>
      <patternFill patternType="solid">
        <fgColor rgb="FF2E7D32"/>
      </patternFill>
    </fill>
    <fill>
      <patternFill patternType="solid">
        <fgColor rgb="FFC77700"/>
      </patternFill>
    </fill>
    <fill>
      <patternFill patternType="solid">
        <fgColor rgb="FFFFF2CC"/>
      </patternFill>
    </fill>
    <fill>
      <patternFill patternType="solid">
        <fgColor rgb="FFDDEBF7"/>
      </patternFill>
    </fill>
    <fill>
      <patternFill patternType="solid">
        <fgColor rgb="FFD9EAD3"/>
      </patternFill>
    </fill>
    <fill>
      <patternFill patternType="solid">
        <fgColor rgb="FFFFF2CC"/>
      </patternFill>
    </fill>
    <fill>
      <patternFill patternType="solid">
        <fgColor rgb="FFFCE4D6"/>
      </patternFill>
    </fill>
    <fill>
      <patternFill patternType="solid">
        <fgColor rgb="FF1F4E78"/>
      </patternFill>
    </fill>
    <fill>
      <patternFill patternType="solid">
        <fgColor rgb="FFD9EAD3"/>
      </patternFill>
    </fill>
  </fills>
  <borders count="3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2">
    <xf numFmtId="0" fontId="0" fillId="0" borderId="29"/>
    <xf numFmtId="9" fontId="3" fillId="0" borderId="29">
      <alignment vertical="center"/>
    </xf>
  </cellStyleXfs>
  <cellXfs count="104">
    <xf numFmtId="0" fontId="0" fillId="0" borderId="0" xfId="0" applyBorder="1"/>
    <xf numFmtId="0" fontId="0" fillId="11" borderId="5" xfId="0" applyFill="1" applyBorder="1" applyProtection="1">
      <protection locked="0"/>
    </xf>
    <xf numFmtId="0" fontId="0" fillId="11" borderId="9" xfId="0" applyFill="1" applyBorder="1" applyProtection="1">
      <protection locked="0"/>
    </xf>
    <xf numFmtId="0" fontId="0" fillId="2" borderId="10" xfId="0" applyFill="1" applyBorder="1" applyAlignment="1" applyProtection="1">
      <alignment vertical="center"/>
      <protection locked="0"/>
    </xf>
    <xf numFmtId="176" fontId="3" fillId="11" borderId="10" xfId="1" applyNumberFormat="1" applyFill="1" applyBorder="1" applyProtection="1">
      <alignment vertical="center"/>
      <protection locked="0"/>
    </xf>
    <xf numFmtId="0" fontId="0" fillId="11" borderId="10" xfId="0" applyFill="1" applyBorder="1" applyAlignment="1" applyProtection="1">
      <alignment vertical="center"/>
      <protection locked="0"/>
    </xf>
    <xf numFmtId="0" fontId="0" fillId="2" borderId="13" xfId="0" applyFill="1" applyBorder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10" fontId="0" fillId="0" borderId="0" xfId="0" applyNumberFormat="1" applyBorder="1" applyProtection="1">
      <protection locked="0"/>
    </xf>
    <xf numFmtId="0" fontId="0" fillId="0" borderId="0" xfId="0" applyBorder="1" applyProtection="1">
      <protection locked="0" hidden="1"/>
    </xf>
    <xf numFmtId="0" fontId="8" fillId="0" borderId="0" xfId="0" applyFont="1" applyBorder="1" applyProtection="1">
      <protection locked="0" hidden="1"/>
    </xf>
    <xf numFmtId="9" fontId="0" fillId="0" borderId="0" xfId="0" applyNumberFormat="1" applyBorder="1" applyProtection="1">
      <protection locked="0" hidden="1"/>
    </xf>
    <xf numFmtId="0" fontId="11" fillId="0" borderId="0" xfId="0" applyFont="1" applyBorder="1" applyProtection="1">
      <protection locked="0" hidden="1"/>
    </xf>
    <xf numFmtId="0" fontId="6" fillId="0" borderId="0" xfId="0" applyFont="1" applyBorder="1" applyProtection="1">
      <protection locked="0" hidden="1"/>
    </xf>
    <xf numFmtId="0" fontId="7" fillId="0" borderId="0" xfId="0" applyFont="1" applyBorder="1" applyProtection="1">
      <protection locked="0" hidden="1"/>
    </xf>
    <xf numFmtId="0" fontId="18" fillId="0" borderId="0" xfId="0" applyFont="1" applyBorder="1" applyProtection="1">
      <protection locked="0" hidden="1"/>
    </xf>
    <xf numFmtId="0" fontId="9" fillId="0" borderId="0" xfId="0" applyFont="1" applyBorder="1" applyProtection="1">
      <protection locked="0" hidden="1"/>
    </xf>
    <xf numFmtId="0" fontId="19" fillId="0" borderId="0" xfId="0" applyFont="1" applyBorder="1" applyProtection="1">
      <protection locked="0" hidden="1"/>
    </xf>
    <xf numFmtId="0" fontId="13" fillId="0" borderId="0" xfId="0" applyFont="1" applyBorder="1" applyProtection="1">
      <protection locked="0" hidden="1"/>
    </xf>
    <xf numFmtId="0" fontId="14" fillId="0" borderId="0" xfId="0" applyFont="1" applyBorder="1" applyProtection="1">
      <protection locked="0" hidden="1"/>
    </xf>
    <xf numFmtId="0" fontId="12" fillId="0" borderId="0" xfId="0" applyFont="1" applyBorder="1" applyProtection="1">
      <protection locked="0" hidden="1"/>
    </xf>
    <xf numFmtId="0" fontId="17" fillId="0" borderId="0" xfId="0" applyFont="1" applyBorder="1" applyProtection="1">
      <protection locked="0" hidden="1"/>
    </xf>
    <xf numFmtId="0" fontId="10" fillId="0" borderId="0" xfId="0" applyFont="1" applyBorder="1" applyProtection="1">
      <protection locked="0" hidden="1"/>
    </xf>
    <xf numFmtId="0" fontId="23" fillId="0" borderId="0" xfId="0" applyFont="1" applyBorder="1" applyProtection="1">
      <protection locked="0"/>
    </xf>
    <xf numFmtId="0" fontId="0" fillId="17" borderId="0" xfId="0" applyFill="1" applyBorder="1"/>
    <xf numFmtId="0" fontId="0" fillId="0" borderId="30" xfId="0" applyBorder="1"/>
    <xf numFmtId="0" fontId="25" fillId="20" borderId="0" xfId="0" applyFont="1" applyFill="1" applyBorder="1"/>
    <xf numFmtId="0" fontId="27" fillId="0" borderId="0" xfId="0" applyFont="1" applyBorder="1"/>
    <xf numFmtId="0" fontId="25" fillId="19" borderId="31" xfId="0" applyFont="1" applyFill="1" applyBorder="1"/>
    <xf numFmtId="0" fontId="0" fillId="0" borderId="31" xfId="0" applyBorder="1"/>
    <xf numFmtId="0" fontId="24" fillId="18" borderId="31" xfId="0" applyFont="1" applyFill="1" applyBorder="1" applyAlignment="1">
      <alignment horizontal="center"/>
    </xf>
    <xf numFmtId="0" fontId="25" fillId="20" borderId="31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6" fillId="21" borderId="31" xfId="0" applyFont="1" applyFill="1" applyBorder="1" applyAlignment="1">
      <alignment horizontal="center" vertical="center"/>
    </xf>
    <xf numFmtId="0" fontId="22" fillId="14" borderId="27" xfId="0" applyFont="1" applyFill="1" applyBorder="1" applyAlignment="1">
      <alignment horizontal="center" vertical="center"/>
    </xf>
    <xf numFmtId="0" fontId="22" fillId="15" borderId="27" xfId="0" applyFont="1" applyFill="1" applyBorder="1" applyAlignment="1">
      <alignment horizontal="center" vertical="center"/>
    </xf>
    <xf numFmtId="0" fontId="22" fillId="16" borderId="27" xfId="0" applyFont="1" applyFill="1" applyBorder="1" applyAlignment="1">
      <alignment horizontal="center" vertical="center"/>
    </xf>
    <xf numFmtId="0" fontId="22" fillId="5" borderId="16" xfId="0" applyFont="1" applyFill="1" applyBorder="1" applyAlignment="1">
      <alignment vertical="center"/>
    </xf>
    <xf numFmtId="0" fontId="0" fillId="5" borderId="17" xfId="0" applyFill="1" applyBorder="1"/>
    <xf numFmtId="0" fontId="0" fillId="0" borderId="3" xfId="0" applyBorder="1"/>
    <xf numFmtId="0" fontId="0" fillId="0" borderId="2" xfId="0" applyBorder="1"/>
    <xf numFmtId="0" fontId="0" fillId="6" borderId="9" xfId="0" applyFill="1" applyBorder="1" applyAlignment="1">
      <alignment vertical="center"/>
    </xf>
    <xf numFmtId="0" fontId="20" fillId="6" borderId="6" xfId="0" applyFont="1" applyFill="1" applyBorder="1" applyAlignment="1">
      <alignment vertical="center"/>
    </xf>
    <xf numFmtId="9" fontId="0" fillId="12" borderId="21" xfId="0" applyNumberFormat="1" applyFill="1" applyBorder="1" applyAlignment="1">
      <alignment vertical="center"/>
    </xf>
    <xf numFmtId="0" fontId="0" fillId="8" borderId="9" xfId="0" applyFill="1" applyBorder="1" applyAlignment="1">
      <alignment vertical="center"/>
    </xf>
    <xf numFmtId="177" fontId="0" fillId="4" borderId="10" xfId="0" applyNumberForma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2" fillId="8" borderId="9" xfId="0" applyFont="1" applyFill="1" applyBorder="1" applyAlignment="1">
      <alignment vertical="center"/>
    </xf>
    <xf numFmtId="0" fontId="15" fillId="6" borderId="9" xfId="0" applyFont="1" applyFill="1" applyBorder="1" applyAlignment="1">
      <alignment vertical="center"/>
    </xf>
    <xf numFmtId="0" fontId="16" fillId="5" borderId="9" xfId="0" applyFont="1" applyFill="1" applyBorder="1" applyAlignment="1">
      <alignment vertical="center"/>
    </xf>
    <xf numFmtId="0" fontId="16" fillId="5" borderId="10" xfId="0" applyFont="1" applyFill="1" applyBorder="1" applyAlignment="1">
      <alignment vertical="center"/>
    </xf>
    <xf numFmtId="3" fontId="0" fillId="12" borderId="21" xfId="0" applyNumberForma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4" fillId="5" borderId="10" xfId="0" applyFont="1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12" borderId="21" xfId="0" applyFill="1" applyBorder="1" applyAlignment="1">
      <alignment vertical="center"/>
    </xf>
    <xf numFmtId="0" fontId="0" fillId="6" borderId="19" xfId="0" applyFill="1" applyBorder="1" applyAlignment="1">
      <alignment vertical="center"/>
    </xf>
    <xf numFmtId="177" fontId="0" fillId="12" borderId="22" xfId="0" applyNumberFormat="1" applyFill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9" xfId="0" applyBorder="1" applyAlignment="1">
      <alignment vertical="center"/>
    </xf>
    <xf numFmtId="177" fontId="0" fillId="12" borderId="10" xfId="0" applyNumberFormat="1" applyFill="1" applyBorder="1" applyAlignment="1">
      <alignment vertical="center"/>
    </xf>
    <xf numFmtId="177" fontId="0" fillId="10" borderId="10" xfId="0" applyNumberFormat="1" applyFill="1" applyBorder="1" applyAlignment="1">
      <alignment vertical="center"/>
    </xf>
    <xf numFmtId="0" fontId="0" fillId="10" borderId="10" xfId="0" applyFill="1" applyBorder="1" applyAlignment="1">
      <alignment vertical="center"/>
    </xf>
    <xf numFmtId="177" fontId="3" fillId="9" borderId="10" xfId="1" applyNumberFormat="1" applyFill="1" applyBorder="1">
      <alignment vertical="center"/>
    </xf>
    <xf numFmtId="177" fontId="0" fillId="9" borderId="10" xfId="1" applyNumberFormat="1" applyFont="1" applyFill="1" applyBorder="1">
      <alignment vertical="center"/>
    </xf>
    <xf numFmtId="0" fontId="0" fillId="7" borderId="11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177" fontId="0" fillId="10" borderId="13" xfId="1" applyNumberFormat="1" applyFont="1" applyFill="1" applyBorder="1">
      <alignment vertical="center"/>
    </xf>
    <xf numFmtId="0" fontId="0" fillId="8" borderId="9" xfId="0" applyFill="1" applyBorder="1"/>
    <xf numFmtId="0" fontId="0" fillId="8" borderId="5" xfId="0" applyFill="1" applyBorder="1"/>
    <xf numFmtId="0" fontId="0" fillId="8" borderId="10" xfId="0" applyFill="1" applyBorder="1"/>
    <xf numFmtId="0" fontId="0" fillId="7" borderId="9" xfId="0" applyFill="1" applyBorder="1"/>
    <xf numFmtId="0" fontId="0" fillId="12" borderId="10" xfId="0" applyFill="1" applyBorder="1"/>
    <xf numFmtId="0" fontId="0" fillId="12" borderId="5" xfId="0" applyFill="1" applyBorder="1"/>
    <xf numFmtId="0" fontId="0" fillId="8" borderId="11" xfId="0" applyFill="1" applyBorder="1"/>
    <xf numFmtId="0" fontId="0" fillId="8" borderId="12" xfId="0" applyFill="1" applyBorder="1"/>
    <xf numFmtId="0" fontId="0" fillId="8" borderId="13" xfId="0" applyFill="1" applyBorder="1"/>
    <xf numFmtId="0" fontId="0" fillId="0" borderId="31" xfId="0" applyBorder="1" applyAlignment="1">
      <alignment horizontal="center"/>
    </xf>
    <xf numFmtId="0" fontId="0" fillId="0" borderId="33" xfId="0" applyBorder="1"/>
    <xf numFmtId="0" fontId="0" fillId="0" borderId="34" xfId="0" applyBorder="1"/>
    <xf numFmtId="0" fontId="28" fillId="22" borderId="29" xfId="0" applyFont="1" applyFill="1" applyAlignment="1">
      <alignment horizontal="center" vertical="center"/>
    </xf>
    <xf numFmtId="0" fontId="0" fillId="0" borderId="0" xfId="0" applyBorder="1"/>
    <xf numFmtId="0" fontId="29" fillId="23" borderId="32" xfId="0" applyFont="1" applyFill="1" applyBorder="1" applyAlignment="1">
      <alignment horizontal="center"/>
    </xf>
    <xf numFmtId="0" fontId="0" fillId="0" borderId="32" xfId="0" applyBorder="1"/>
    <xf numFmtId="0" fontId="22" fillId="14" borderId="27" xfId="0" applyFont="1" applyFill="1" applyBorder="1" applyAlignment="1">
      <alignment horizontal="center" vertical="center"/>
    </xf>
    <xf numFmtId="0" fontId="0" fillId="0" borderId="28" xfId="0" applyBorder="1"/>
    <xf numFmtId="0" fontId="21" fillId="0" borderId="24" xfId="0" applyFont="1" applyBorder="1" applyAlignment="1">
      <alignment horizontal="center"/>
    </xf>
    <xf numFmtId="0" fontId="0" fillId="0" borderId="24" xfId="0" applyBorder="1"/>
    <xf numFmtId="0" fontId="5" fillId="13" borderId="26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5" fillId="5" borderId="9" xfId="0" applyFont="1" applyFill="1" applyBorder="1" applyAlignment="1">
      <alignment horizontal="left" vertical="center"/>
    </xf>
    <xf numFmtId="0" fontId="0" fillId="0" borderId="6" xfId="0" applyBorder="1"/>
    <xf numFmtId="0" fontId="5" fillId="5" borderId="9" xfId="0" applyFont="1" applyFill="1" applyBorder="1" applyAlignment="1">
      <alignment horizontal="center" vertical="center"/>
    </xf>
    <xf numFmtId="0" fontId="22" fillId="3" borderId="16" xfId="0" applyFont="1" applyFill="1" applyBorder="1" applyAlignment="1">
      <alignment vertical="center"/>
    </xf>
    <xf numFmtId="0" fontId="0" fillId="0" borderId="18" xfId="0" applyBorder="1"/>
    <xf numFmtId="0" fontId="5" fillId="13" borderId="25" xfId="0" applyFont="1" applyFill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22" fillId="5" borderId="17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workbookViewId="0">
      <selection activeCell="D15" sqref="D15"/>
    </sheetView>
  </sheetViews>
  <sheetFormatPr defaultRowHeight="13.2" x14ac:dyDescent="0.2"/>
  <sheetData>
    <row r="1" spans="1:2" x14ac:dyDescent="0.2">
      <c r="A1" s="7" t="s">
        <v>23</v>
      </c>
      <c r="B1" s="7"/>
    </row>
    <row r="2" spans="1:2" x14ac:dyDescent="0.2">
      <c r="A2" s="7" t="s">
        <v>24</v>
      </c>
      <c r="B2" s="7" t="s">
        <v>25</v>
      </c>
    </row>
    <row r="3" spans="1:2" x14ac:dyDescent="0.2">
      <c r="A3" s="7" t="s">
        <v>26</v>
      </c>
      <c r="B3" s="7" t="s">
        <v>27</v>
      </c>
    </row>
    <row r="4" spans="1:2" x14ac:dyDescent="0.2">
      <c r="A4" s="7" t="s">
        <v>28</v>
      </c>
      <c r="B4" s="7" t="s">
        <v>29</v>
      </c>
    </row>
    <row r="5" spans="1:2" x14ac:dyDescent="0.2">
      <c r="A5" s="7" t="s">
        <v>30</v>
      </c>
      <c r="B5" s="7" t="s">
        <v>31</v>
      </c>
    </row>
    <row r="6" spans="1:2" x14ac:dyDescent="0.2">
      <c r="A6" s="7"/>
      <c r="B6" s="7"/>
    </row>
    <row r="7" spans="1:2" x14ac:dyDescent="0.2">
      <c r="A7" s="7"/>
      <c r="B7" s="7"/>
    </row>
    <row r="8" spans="1:2" x14ac:dyDescent="0.2">
      <c r="A8" s="7"/>
      <c r="B8" s="7"/>
    </row>
    <row r="9" spans="1:2" x14ac:dyDescent="0.2">
      <c r="A9" s="7"/>
      <c r="B9" s="7"/>
    </row>
    <row r="10" spans="1:2" x14ac:dyDescent="0.2">
      <c r="A10" s="7"/>
      <c r="B10" s="7"/>
    </row>
    <row r="11" spans="1:2" x14ac:dyDescent="0.2">
      <c r="A11" s="7"/>
      <c r="B11" s="7"/>
    </row>
    <row r="12" spans="1:2" x14ac:dyDescent="0.2">
      <c r="A12" s="7"/>
      <c r="B12" s="7"/>
    </row>
    <row r="13" spans="1:2" x14ac:dyDescent="0.2">
      <c r="A13" s="7"/>
      <c r="B13" s="7"/>
    </row>
    <row r="14" spans="1:2" x14ac:dyDescent="0.2">
      <c r="A14" s="7"/>
      <c r="B14" s="7"/>
    </row>
    <row r="15" spans="1:2" x14ac:dyDescent="0.2">
      <c r="A15" s="7"/>
      <c r="B15" s="7"/>
    </row>
    <row r="16" spans="1:2" x14ac:dyDescent="0.2">
      <c r="A16" s="7"/>
      <c r="B16" s="8"/>
    </row>
  </sheetData>
  <phoneticPr fontId="1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14"/>
  <sheetViews>
    <sheetView workbookViewId="0"/>
  </sheetViews>
  <sheetFormatPr defaultRowHeight="13.2" x14ac:dyDescent="0.2"/>
  <cols>
    <col min="1" max="1" width="36.88671875" bestFit="1" customWidth="1"/>
  </cols>
  <sheetData>
    <row r="1" spans="1:28" ht="16.2" customHeight="1" x14ac:dyDescent="0.2">
      <c r="A1" s="23" t="s">
        <v>160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AA1" s="24" t="s">
        <v>161</v>
      </c>
    </row>
    <row r="2" spans="1:28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 t="s">
        <v>162</v>
      </c>
      <c r="O2" s="7"/>
      <c r="AA2" s="24" t="s">
        <v>8</v>
      </c>
      <c r="AB2" s="24" t="e">
        <f>入力値*2.5</f>
        <v>#NAME?</v>
      </c>
    </row>
    <row r="3" spans="1:28" x14ac:dyDescent="0.2">
      <c r="A3" s="7" t="s">
        <v>13</v>
      </c>
      <c r="B3" s="7">
        <f>'03_月次計算'!B5</f>
        <v>6045000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 t="s">
        <v>163</v>
      </c>
      <c r="O3" s="7">
        <v>0</v>
      </c>
      <c r="AA3" s="24" t="s">
        <v>164</v>
      </c>
      <c r="AB3" s="24" t="e">
        <f>廃棄原価*50%</f>
        <v>#NAME?</v>
      </c>
    </row>
    <row r="4" spans="1:28" x14ac:dyDescent="0.2">
      <c r="A4" s="7" t="s">
        <v>4</v>
      </c>
      <c r="B4" s="7" t="str">
        <f>'01_ダッシュボード'!B4</f>
        <v>はい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 t="s">
        <v>165</v>
      </c>
      <c r="O4" s="7">
        <v>0</v>
      </c>
    </row>
    <row r="5" spans="1:28" x14ac:dyDescent="0.2">
      <c r="A5" s="7" t="s">
        <v>166</v>
      </c>
      <c r="B5" s="7" t="str">
        <f>'01_ダッシュボード'!B5</f>
        <v>1号店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 t="s">
        <v>167</v>
      </c>
      <c r="O5" s="7">
        <v>0</v>
      </c>
    </row>
    <row r="6" spans="1:28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 t="s">
        <v>168</v>
      </c>
      <c r="O6" s="7">
        <v>0</v>
      </c>
    </row>
    <row r="7" spans="1:28" x14ac:dyDescent="0.2">
      <c r="A7" s="7" t="s">
        <v>137</v>
      </c>
      <c r="B7" s="7">
        <f>IF(B3&lt;=4000000,B3*53%,4000000*53%+(B3-4000000)*67%)</f>
        <v>3490150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 t="s">
        <v>46</v>
      </c>
      <c r="O7" s="7">
        <v>0</v>
      </c>
    </row>
    <row r="8" spans="1:28" x14ac:dyDescent="0.2">
      <c r="A8" s="7" t="s">
        <v>15</v>
      </c>
      <c r="B8" s="7">
        <f>IF(B4="はい",200000,0)</f>
        <v>200000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 t="s">
        <v>49</v>
      </c>
      <c r="O8" s="7">
        <v>0</v>
      </c>
    </row>
    <row r="9" spans="1:28" x14ac:dyDescent="0.2">
      <c r="A9" s="7" t="s">
        <v>16</v>
      </c>
      <c r="B9" s="7">
        <f>IF(B5="複数店",100000,0)</f>
        <v>0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 t="s">
        <v>146</v>
      </c>
      <c r="O9" s="7">
        <v>0</v>
      </c>
    </row>
    <row r="10" spans="1:28" x14ac:dyDescent="0.2">
      <c r="A10" s="7" t="s">
        <v>115</v>
      </c>
      <c r="B10" s="7">
        <f>B7-B8-B9</f>
        <v>3290150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 t="s">
        <v>169</v>
      </c>
      <c r="O10" s="7">
        <v>200000</v>
      </c>
    </row>
    <row r="11" spans="1:28" x14ac:dyDescent="0.2">
      <c r="A11" s="7" t="s">
        <v>17</v>
      </c>
      <c r="B11" s="7">
        <f>'01_ダッシュボード'!B19*2.5</f>
        <v>150000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 t="s">
        <v>170</v>
      </c>
      <c r="O11" s="7">
        <v>100000</v>
      </c>
    </row>
    <row r="12" spans="1:28" x14ac:dyDescent="0.2">
      <c r="A12" s="7" t="s">
        <v>18</v>
      </c>
      <c r="B12" s="7">
        <f>'01_ダッシュボード'!B16*50/85</f>
        <v>1.4705882352941176E-2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 t="s">
        <v>171</v>
      </c>
      <c r="O12" s="7">
        <v>300000</v>
      </c>
    </row>
    <row r="13" spans="1:28" x14ac:dyDescent="0.2">
      <c r="A13" t="s">
        <v>19</v>
      </c>
      <c r="B13">
        <f>0</f>
        <v>0</v>
      </c>
    </row>
    <row r="14" spans="1:28" x14ac:dyDescent="0.2">
      <c r="A14" t="s">
        <v>20</v>
      </c>
      <c r="B14">
        <f>0</f>
        <v>0</v>
      </c>
    </row>
  </sheetData>
  <phoneticPr fontId="1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3"/>
  <sheetViews>
    <sheetView tabSelected="1" workbookViewId="0">
      <selection activeCell="B3" sqref="B3"/>
    </sheetView>
  </sheetViews>
  <sheetFormatPr defaultRowHeight="13.2" x14ac:dyDescent="0.2"/>
  <cols>
    <col min="1" max="1" width="18.109375" bestFit="1" customWidth="1"/>
    <col min="2" max="2" width="9.109375" bestFit="1" customWidth="1"/>
    <col min="3" max="3" width="17.109375" bestFit="1" customWidth="1"/>
    <col min="4" max="4" width="17.77734375" bestFit="1" customWidth="1"/>
    <col min="5" max="5" width="20" bestFit="1" customWidth="1"/>
    <col min="6" max="6" width="12.77734375" bestFit="1" customWidth="1"/>
  </cols>
  <sheetData>
    <row r="1" spans="1:18" ht="16.2" customHeight="1" thickBot="1" x14ac:dyDescent="0.25">
      <c r="A1" s="34"/>
      <c r="B1" s="34"/>
      <c r="C1" s="88" t="s">
        <v>32</v>
      </c>
      <c r="D1" s="89"/>
      <c r="E1" s="34"/>
      <c r="F1" s="34"/>
      <c r="G1" s="35"/>
      <c r="H1" s="35"/>
      <c r="I1" s="35"/>
      <c r="J1" s="35"/>
      <c r="K1" s="35"/>
      <c r="L1" s="35"/>
      <c r="M1" s="36"/>
      <c r="N1" s="36"/>
      <c r="O1" s="36"/>
      <c r="P1" s="36"/>
      <c r="Q1" s="36"/>
      <c r="R1" s="36"/>
    </row>
    <row r="2" spans="1:18" x14ac:dyDescent="0.2">
      <c r="A2" s="98" t="s">
        <v>33</v>
      </c>
      <c r="B2" s="99"/>
      <c r="C2" s="103" t="s">
        <v>34</v>
      </c>
      <c r="D2" s="94"/>
      <c r="E2" s="37" t="s">
        <v>35</v>
      </c>
      <c r="F2" s="38"/>
      <c r="G2" s="39"/>
      <c r="H2" s="40"/>
    </row>
    <row r="3" spans="1:18" ht="13.2" customHeight="1" x14ac:dyDescent="0.2">
      <c r="A3" s="41" t="s">
        <v>3</v>
      </c>
      <c r="B3" s="3" t="s">
        <v>36</v>
      </c>
      <c r="C3" s="42" t="s">
        <v>15</v>
      </c>
      <c r="D3" s="43">
        <f>IF(B3="新制度",0,IF(B4="はい",2%,0))</f>
        <v>0.02</v>
      </c>
      <c r="E3" s="44" t="s">
        <v>37</v>
      </c>
      <c r="F3" s="45">
        <f>B10*B9</f>
        <v>19500000</v>
      </c>
      <c r="G3" s="46"/>
      <c r="H3" s="47"/>
    </row>
    <row r="4" spans="1:18" x14ac:dyDescent="0.2">
      <c r="A4" s="41" t="s">
        <v>4</v>
      </c>
      <c r="B4" s="3" t="s">
        <v>38</v>
      </c>
      <c r="C4" s="42" t="s">
        <v>16</v>
      </c>
      <c r="D4" s="43">
        <f>IF(B3="新制度",0,IF(B5="複数店",3%,0))</f>
        <v>0</v>
      </c>
      <c r="E4" s="48" t="s">
        <v>13</v>
      </c>
      <c r="F4" s="45">
        <f>F3*B11</f>
        <v>6045000</v>
      </c>
      <c r="G4" s="46"/>
      <c r="H4" s="47"/>
    </row>
    <row r="5" spans="1:18" x14ac:dyDescent="0.2">
      <c r="A5" s="41" t="s">
        <v>5</v>
      </c>
      <c r="B5" s="3" t="s">
        <v>39</v>
      </c>
      <c r="C5" s="42" t="s">
        <v>40</v>
      </c>
      <c r="D5" s="43">
        <f>IF(B3="新制度",0,IF(B6="5年以上",1%,IF(B6="15年以上",4%,0)))</f>
        <v>0.04</v>
      </c>
      <c r="E5" s="48" t="s">
        <v>14</v>
      </c>
      <c r="F5" s="45">
        <f>IF(B3="Aタイプ",'04A_A契約チャージエンジン'!B9,IF(B3="Cタイプ",'04C_C契約チャージエンジン'!B20,'04N_新契約チャージエンジン'!B10))</f>
        <v>3139700</v>
      </c>
      <c r="G5" s="46"/>
      <c r="H5" s="47"/>
    </row>
    <row r="6" spans="1:18" ht="13.2" customHeight="1" x14ac:dyDescent="0.2">
      <c r="A6" s="49" t="s">
        <v>6</v>
      </c>
      <c r="B6" s="3" t="s">
        <v>41</v>
      </c>
      <c r="C6" s="42" t="s">
        <v>42</v>
      </c>
      <c r="D6" s="43">
        <f>IF(B3="新制度",0,IF(AND(OR(B6="5年以上",B6="15年以上"),'05_共通計算'!B14=2%),2%,IF('05_共通計算'!B13=1%,1%,0%)))</f>
        <v>0.02</v>
      </c>
      <c r="E6" s="44" t="s">
        <v>43</v>
      </c>
      <c r="F6" s="45">
        <f>F4-F5</f>
        <v>2905300</v>
      </c>
      <c r="G6" s="46"/>
      <c r="H6" s="47"/>
    </row>
    <row r="7" spans="1:18" x14ac:dyDescent="0.2">
      <c r="A7" s="41" t="s">
        <v>44</v>
      </c>
      <c r="B7" s="3" t="s">
        <v>45</v>
      </c>
      <c r="C7" s="42" t="s">
        <v>46</v>
      </c>
      <c r="D7" s="43">
        <f>'05_共通計算'!B15</f>
        <v>0.1</v>
      </c>
      <c r="E7" s="44" t="s">
        <v>47</v>
      </c>
      <c r="F7" s="45">
        <f>F6+B12</f>
        <v>2955300</v>
      </c>
      <c r="G7" s="46"/>
      <c r="H7" s="47"/>
    </row>
    <row r="8" spans="1:18" x14ac:dyDescent="0.2">
      <c r="A8" s="50" t="s">
        <v>48</v>
      </c>
      <c r="B8" s="51"/>
      <c r="C8" s="42" t="s">
        <v>49</v>
      </c>
      <c r="D8" s="52">
        <f>IF(B3="新制度",0,IF(B3="Aタイプ",'04A_A契約チャージエンジン'!B8,'04C_C契約チャージエンジン'!B19))</f>
        <v>35000</v>
      </c>
      <c r="E8" s="53" t="s">
        <v>50</v>
      </c>
      <c r="F8" s="54"/>
      <c r="G8" s="46"/>
      <c r="H8" s="47"/>
    </row>
    <row r="9" spans="1:18" x14ac:dyDescent="0.2">
      <c r="A9" s="55" t="s">
        <v>51</v>
      </c>
      <c r="B9" s="3">
        <v>30</v>
      </c>
      <c r="C9" s="56" t="s">
        <v>52</v>
      </c>
      <c r="D9" s="57">
        <f>IF(B3="Cタイプ",'05_共通計算'!B16,0)</f>
        <v>90000</v>
      </c>
      <c r="E9" s="44" t="s">
        <v>53</v>
      </c>
      <c r="F9" s="45">
        <f>B14*F15</f>
        <v>1800000</v>
      </c>
      <c r="G9" s="46"/>
      <c r="H9" s="47"/>
    </row>
    <row r="10" spans="1:18" ht="13.8" customHeight="1" thickBot="1" x14ac:dyDescent="0.25">
      <c r="A10" s="55" t="s">
        <v>54</v>
      </c>
      <c r="B10" s="3">
        <v>650000</v>
      </c>
      <c r="C10" s="58" t="s">
        <v>55</v>
      </c>
      <c r="D10" s="59">
        <f>IF(B3="新制度",IF(B4="はい",200000,0)+IF(B5="複数店",100000,0),F4*D7+D8+D9)</f>
        <v>729500</v>
      </c>
      <c r="E10" s="44" t="s">
        <v>56</v>
      </c>
      <c r="F10" s="45">
        <f>F3*B16</f>
        <v>487500</v>
      </c>
      <c r="G10" s="46"/>
      <c r="H10" s="47"/>
    </row>
    <row r="11" spans="1:18" x14ac:dyDescent="0.2">
      <c r="A11" s="55" t="s">
        <v>57</v>
      </c>
      <c r="B11" s="4">
        <v>0.31</v>
      </c>
      <c r="C11" s="60"/>
      <c r="D11" s="61"/>
      <c r="E11" s="48" t="s">
        <v>58</v>
      </c>
      <c r="F11" s="45">
        <f>SUM(B17:B18,B20:B23)</f>
        <v>185000</v>
      </c>
      <c r="G11" s="46"/>
      <c r="H11" s="47"/>
    </row>
    <row r="12" spans="1:18" x14ac:dyDescent="0.2">
      <c r="A12" s="55" t="s">
        <v>59</v>
      </c>
      <c r="B12" s="3">
        <v>50000</v>
      </c>
      <c r="C12" s="46"/>
      <c r="D12" s="62"/>
      <c r="E12" s="97" t="s">
        <v>20</v>
      </c>
      <c r="F12" s="96"/>
      <c r="G12" s="46"/>
      <c r="H12" s="47"/>
    </row>
    <row r="13" spans="1:18" x14ac:dyDescent="0.2">
      <c r="A13" s="55" t="s">
        <v>60</v>
      </c>
      <c r="B13" s="5">
        <v>30</v>
      </c>
      <c r="C13" s="46"/>
      <c r="D13" s="62"/>
      <c r="E13" s="63"/>
      <c r="F13" s="64">
        <f>F7-F9-IF(B3="新制度",F10*0.5,F10*0.85)-(F11+IF(B3="新制度",B19*2.5,B19))</f>
        <v>495925</v>
      </c>
      <c r="G13" s="46"/>
      <c r="H13" s="47"/>
    </row>
    <row r="14" spans="1:18" x14ac:dyDescent="0.2">
      <c r="A14" s="55" t="s">
        <v>61</v>
      </c>
      <c r="B14" s="65">
        <f>H33/G33</f>
        <v>1621.6216216216217</v>
      </c>
      <c r="C14" s="46"/>
      <c r="D14" s="62"/>
      <c r="E14" s="95" t="s">
        <v>62</v>
      </c>
      <c r="F14" s="96"/>
      <c r="G14" s="46"/>
      <c r="H14" s="47"/>
    </row>
    <row r="15" spans="1:18" x14ac:dyDescent="0.2">
      <c r="A15" s="55" t="s">
        <v>63</v>
      </c>
      <c r="B15" s="66">
        <f>C33</f>
        <v>47</v>
      </c>
      <c r="C15" s="46"/>
      <c r="D15" s="62"/>
      <c r="E15" s="44" t="s">
        <v>64</v>
      </c>
      <c r="F15" s="45">
        <f>G33/7*B13</f>
        <v>1110</v>
      </c>
      <c r="G15" s="46"/>
      <c r="H15" s="47"/>
    </row>
    <row r="16" spans="1:18" x14ac:dyDescent="0.2">
      <c r="A16" s="55" t="s">
        <v>7</v>
      </c>
      <c r="B16" s="4">
        <v>2.5000000000000001E-2</v>
      </c>
      <c r="C16" s="46"/>
      <c r="D16" s="62"/>
      <c r="E16" s="44" t="s">
        <v>63</v>
      </c>
      <c r="F16" s="45">
        <f>F15/B13</f>
        <v>37</v>
      </c>
      <c r="G16" s="46"/>
      <c r="H16" s="47"/>
    </row>
    <row r="17" spans="1:8" x14ac:dyDescent="0.2">
      <c r="A17" s="55" t="s">
        <v>65</v>
      </c>
      <c r="B17" s="3">
        <v>50000</v>
      </c>
      <c r="C17" s="46"/>
      <c r="D17" s="62"/>
      <c r="E17" s="44" t="s">
        <v>66</v>
      </c>
      <c r="F17" s="45">
        <f>F9/B13</f>
        <v>60000</v>
      </c>
      <c r="G17" s="46"/>
      <c r="H17" s="47"/>
    </row>
    <row r="18" spans="1:8" x14ac:dyDescent="0.2">
      <c r="A18" s="55" t="s">
        <v>67</v>
      </c>
      <c r="B18" s="3">
        <v>5000</v>
      </c>
      <c r="C18" s="46"/>
      <c r="D18" s="62"/>
      <c r="E18" s="44" t="s">
        <v>68</v>
      </c>
      <c r="F18" s="45">
        <f>F10/B9</f>
        <v>16250</v>
      </c>
      <c r="G18" s="46"/>
      <c r="H18" s="47"/>
    </row>
    <row r="19" spans="1:8" x14ac:dyDescent="0.2">
      <c r="A19" s="55" t="s">
        <v>8</v>
      </c>
      <c r="B19" s="3">
        <v>60000</v>
      </c>
      <c r="C19" s="46"/>
      <c r="D19" s="62"/>
      <c r="E19" s="44" t="s">
        <v>69</v>
      </c>
      <c r="F19" s="45">
        <f>F13/B9</f>
        <v>16530.833333333332</v>
      </c>
      <c r="G19" s="46"/>
      <c r="H19" s="47"/>
    </row>
    <row r="20" spans="1:8" x14ac:dyDescent="0.2">
      <c r="A20" s="55" t="s">
        <v>70</v>
      </c>
      <c r="B20" s="3">
        <v>40000</v>
      </c>
      <c r="C20" s="46"/>
      <c r="D20" s="62"/>
      <c r="E20" s="95" t="s">
        <v>71</v>
      </c>
      <c r="F20" s="96"/>
      <c r="G20" s="46"/>
      <c r="H20" s="47"/>
    </row>
    <row r="21" spans="1:8" x14ac:dyDescent="0.2">
      <c r="A21" s="55" t="s">
        <v>72</v>
      </c>
      <c r="B21" s="3">
        <v>20000</v>
      </c>
      <c r="C21" s="46"/>
      <c r="D21" s="62"/>
      <c r="E21" s="48" t="s">
        <v>73</v>
      </c>
      <c r="F21" s="67">
        <f>E33/7*B13</f>
        <v>171.42857142857144</v>
      </c>
      <c r="G21" s="46"/>
      <c r="H21" s="47"/>
    </row>
    <row r="22" spans="1:8" x14ac:dyDescent="0.2">
      <c r="A22" s="55" t="s">
        <v>74</v>
      </c>
      <c r="B22" s="3">
        <v>35000</v>
      </c>
      <c r="C22" s="46"/>
      <c r="D22" s="62"/>
      <c r="E22" s="44" t="s">
        <v>75</v>
      </c>
      <c r="F22" s="68">
        <f>F33/7*B13</f>
        <v>128.57142857142856</v>
      </c>
      <c r="G22" s="46"/>
      <c r="H22" s="47"/>
    </row>
    <row r="23" spans="1:8" ht="13.8" customHeight="1" thickBot="1" x14ac:dyDescent="0.25">
      <c r="A23" s="69" t="s">
        <v>76</v>
      </c>
      <c r="B23" s="6">
        <v>35000</v>
      </c>
      <c r="C23" s="46"/>
      <c r="D23" s="62"/>
      <c r="E23" s="70" t="s">
        <v>77</v>
      </c>
      <c r="F23" s="71">
        <f>F13/(F21+F22)</f>
        <v>1653.0833333333333</v>
      </c>
      <c r="G23" s="46"/>
      <c r="H23" s="47"/>
    </row>
    <row r="25" spans="1:8" ht="13.8" customHeight="1" thickBot="1" x14ac:dyDescent="0.25">
      <c r="A25" s="90" t="s">
        <v>78</v>
      </c>
      <c r="B25" s="91"/>
      <c r="C25" s="91"/>
      <c r="D25" s="91"/>
      <c r="E25" s="91"/>
      <c r="F25" s="91"/>
      <c r="G25" s="91"/>
      <c r="H25" s="91"/>
    </row>
    <row r="26" spans="1:8" x14ac:dyDescent="0.2">
      <c r="A26" s="92" t="s">
        <v>79</v>
      </c>
      <c r="B26" s="93"/>
      <c r="C26" s="93"/>
      <c r="D26" s="94"/>
      <c r="E26" s="100" t="s">
        <v>80</v>
      </c>
      <c r="F26" s="101"/>
      <c r="G26" s="101"/>
      <c r="H26" s="102"/>
    </row>
    <row r="27" spans="1:8" x14ac:dyDescent="0.2">
      <c r="A27" s="72" t="s">
        <v>81</v>
      </c>
      <c r="B27" s="73" t="s">
        <v>82</v>
      </c>
      <c r="C27" s="73" t="s">
        <v>83</v>
      </c>
      <c r="D27" s="74" t="s">
        <v>84</v>
      </c>
      <c r="E27" s="72" t="s">
        <v>85</v>
      </c>
      <c r="F27" s="73" t="s">
        <v>86</v>
      </c>
      <c r="G27" s="73" t="s">
        <v>87</v>
      </c>
      <c r="H27" s="74" t="s">
        <v>88</v>
      </c>
    </row>
    <row r="28" spans="1:8" x14ac:dyDescent="0.2">
      <c r="A28" s="75" t="s">
        <v>89</v>
      </c>
      <c r="B28" s="1">
        <v>1500</v>
      </c>
      <c r="C28" s="1">
        <v>8</v>
      </c>
      <c r="D28" s="76">
        <f t="shared" ref="D28:D33" si="0">C28*7</f>
        <v>56</v>
      </c>
      <c r="E28" s="2"/>
      <c r="F28" s="1"/>
      <c r="G28" s="77">
        <f t="shared" ref="G28:G33" si="1">D28-E28-F28</f>
        <v>56</v>
      </c>
      <c r="H28" s="76">
        <f>G28*B28</f>
        <v>84000</v>
      </c>
    </row>
    <row r="29" spans="1:8" x14ac:dyDescent="0.2">
      <c r="A29" s="75" t="s">
        <v>90</v>
      </c>
      <c r="B29" s="1">
        <v>1500</v>
      </c>
      <c r="C29" s="1">
        <v>9</v>
      </c>
      <c r="D29" s="76">
        <f t="shared" si="0"/>
        <v>63</v>
      </c>
      <c r="E29" s="2"/>
      <c r="F29" s="1">
        <v>30</v>
      </c>
      <c r="G29" s="77">
        <f t="shared" si="1"/>
        <v>33</v>
      </c>
      <c r="H29" s="76">
        <f>G29*B29</f>
        <v>49500</v>
      </c>
    </row>
    <row r="30" spans="1:8" x14ac:dyDescent="0.2">
      <c r="A30" s="75" t="s">
        <v>91</v>
      </c>
      <c r="B30" s="1">
        <v>1500</v>
      </c>
      <c r="C30" s="1">
        <v>8</v>
      </c>
      <c r="D30" s="76">
        <f t="shared" si="0"/>
        <v>56</v>
      </c>
      <c r="E30" s="2">
        <v>40</v>
      </c>
      <c r="F30" s="1">
        <v>0</v>
      </c>
      <c r="G30" s="77">
        <f t="shared" si="1"/>
        <v>16</v>
      </c>
      <c r="H30" s="76">
        <f>G30*B30</f>
        <v>24000</v>
      </c>
    </row>
    <row r="31" spans="1:8" x14ac:dyDescent="0.2">
      <c r="A31" s="75" t="s">
        <v>92</v>
      </c>
      <c r="B31" s="1">
        <v>1500</v>
      </c>
      <c r="C31" s="1">
        <v>10</v>
      </c>
      <c r="D31" s="76">
        <f t="shared" si="0"/>
        <v>70</v>
      </c>
      <c r="E31" s="2">
        <v>0</v>
      </c>
      <c r="F31" s="1"/>
      <c r="G31" s="77">
        <f t="shared" si="1"/>
        <v>70</v>
      </c>
      <c r="H31" s="76">
        <f>G31*B31</f>
        <v>105000</v>
      </c>
    </row>
    <row r="32" spans="1:8" x14ac:dyDescent="0.2">
      <c r="A32" s="75" t="s">
        <v>93</v>
      </c>
      <c r="B32" s="1">
        <v>1875</v>
      </c>
      <c r="C32" s="1">
        <v>12</v>
      </c>
      <c r="D32" s="76">
        <f t="shared" si="0"/>
        <v>84</v>
      </c>
      <c r="E32" s="2"/>
      <c r="F32" s="1"/>
      <c r="G32" s="77">
        <f t="shared" si="1"/>
        <v>84</v>
      </c>
      <c r="H32" s="76">
        <f>G32*B32</f>
        <v>157500</v>
      </c>
    </row>
    <row r="33" spans="1:8" ht="13.8" customHeight="1" thickBot="1" x14ac:dyDescent="0.25">
      <c r="A33" s="78" t="s">
        <v>94</v>
      </c>
      <c r="B33" s="79"/>
      <c r="C33" s="79">
        <f>C28+C29+C30+C31+C32</f>
        <v>47</v>
      </c>
      <c r="D33" s="80">
        <f t="shared" si="0"/>
        <v>329</v>
      </c>
      <c r="E33" s="78">
        <f>E28+E29+E30+E31+E32</f>
        <v>40</v>
      </c>
      <c r="F33" s="79">
        <f>F28+F29+F30+F31+F32</f>
        <v>30</v>
      </c>
      <c r="G33" s="79">
        <f t="shared" si="1"/>
        <v>259</v>
      </c>
      <c r="H33" s="80">
        <f>H28+H29+H30+H31+H32</f>
        <v>420000</v>
      </c>
    </row>
  </sheetData>
  <sheetProtection sheet="1"/>
  <mergeCells count="9">
    <mergeCell ref="C1:D1"/>
    <mergeCell ref="A25:H25"/>
    <mergeCell ref="A26:D26"/>
    <mergeCell ref="E14:F14"/>
    <mergeCell ref="E12:F12"/>
    <mergeCell ref="A2:B2"/>
    <mergeCell ref="E26:H26"/>
    <mergeCell ref="E20:F20"/>
    <mergeCell ref="C2:D2"/>
  </mergeCells>
  <phoneticPr fontId="1"/>
  <dataValidations count="18">
    <dataValidation type="list" sqref="B4" xr:uid="{00000000-0002-0000-0100-000000000000}">
      <formula1>"はい,いいえ"</formula1>
    </dataValidation>
    <dataValidation type="list" sqref="B5" xr:uid="{00000000-0002-0000-0100-000001000000}">
      <formula1>"1号店,複数店"</formula1>
    </dataValidation>
    <dataValidation type="list" sqref="B6" xr:uid="{00000000-0002-0000-0100-000002000000}">
      <formula1>"5年未満,5年以上,15年以上"</formula1>
    </dataValidation>
    <dataValidation type="list" sqref="B7" xr:uid="{00000000-0002-0000-0100-000003000000}">
      <formula1>"A,B,C"</formula1>
    </dataValidation>
    <dataValidation type="list" sqref="B9 B13" xr:uid="{00000000-0002-0000-0100-000004000000}">
      <formula1>"28,29,30,31"</formula1>
    </dataValidation>
    <dataValidation type="list" allowBlank="1" sqref="B4" xr:uid="{00000000-0002-0000-0100-000005000000}">
      <formula1>"はい,いいえ"</formula1>
    </dataValidation>
    <dataValidation type="list" allowBlank="1" sqref="B5" xr:uid="{00000000-0002-0000-0100-000006000000}">
      <formula1>"1号店,複数店"</formula1>
    </dataValidation>
    <dataValidation type="list" allowBlank="1" sqref="B6" xr:uid="{00000000-0002-0000-0100-000007000000}">
      <formula1>"5年未満,5年以上,15年以上"</formula1>
    </dataValidation>
    <dataValidation type="list" allowBlank="1" sqref="B7" xr:uid="{00000000-0002-0000-0100-000008000000}">
      <formula1>"A,B,C"</formula1>
    </dataValidation>
    <dataValidation type="list" allowBlank="1" sqref="B9 B13" xr:uid="{00000000-0002-0000-0100-000009000000}">
      <formula1>"28,29,30,31"</formula1>
    </dataValidation>
    <dataValidation type="whole" allowBlank="1" errorTitle="入力エラー" error="入力範囲外です" promptTitle="入力" prompt="営業日数は28～31日" sqref="B10" xr:uid="{00000000-0002-0000-0100-00000A000000}">
      <formula1>28</formula1>
      <formula2>31</formula2>
    </dataValidation>
    <dataValidation type="decimal" allowBlank="1" errorTitle="入力エラー" error="入力範囲外です" promptTitle="入力" prompt="GP率は0～100%" sqref="B12" xr:uid="{00000000-0002-0000-0100-00000B000000}">
      <formula1>0</formula1>
      <formula2>100</formula2>
    </dataValidation>
    <dataValidation type="whole" allowBlank="1" errorTitle="入力エラー" error="入力範囲外です" promptTitle="入力" prompt="時給は500～3000円" sqref="B15" xr:uid="{00000000-0002-0000-0100-00000C000000}">
      <formula1>500</formula1>
      <formula2>3000</formula2>
    </dataValidation>
    <dataValidation type="decimal" allowBlank="1" errorTitle="入力エラー" error="入力範囲外です" promptTitle="入力" prompt="廃棄率は0～10%" sqref="B17" xr:uid="{00000000-0002-0000-0100-00000D000000}">
      <formula1>0</formula1>
      <formula2>10</formula2>
    </dataValidation>
    <dataValidation type="list" sqref="B3" xr:uid="{00000000-0002-0000-0100-00000E000000}">
      <formula1>"Aタイプ,Cタイプ,新制度"</formula1>
    </dataValidation>
    <dataValidation type="list" allowBlank="1" sqref="B3" xr:uid="{00000000-0002-0000-0100-00000F000000}">
      <formula1>"Aタイプ,Cタイプ,新制度"</formula1>
    </dataValidation>
    <dataValidation type="list" allowBlank="1" sqref="B4" xr:uid="{00000000-0002-0000-0100-000010000000}">
      <formula1>"一号店,複数店"</formula1>
    </dataValidation>
    <dataValidation type="list" allowBlank="1" sqref="B5" xr:uid="{00000000-0002-0000-0100-000011000000}">
      <formula1>"対象,対象外"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3"/>
  <sheetViews>
    <sheetView workbookViewId="0"/>
  </sheetViews>
  <sheetFormatPr defaultRowHeight="13.2" x14ac:dyDescent="0.2"/>
  <sheetData>
    <row r="1" spans="1:2" x14ac:dyDescent="0.2">
      <c r="A1" s="10" t="s">
        <v>9</v>
      </c>
      <c r="B1" s="9" t="s">
        <v>95</v>
      </c>
    </row>
    <row r="2" spans="1:2" x14ac:dyDescent="0.2">
      <c r="A2" s="9" t="s">
        <v>96</v>
      </c>
      <c r="B2" s="9">
        <v>0.43</v>
      </c>
    </row>
    <row r="3" spans="1:2" x14ac:dyDescent="0.2">
      <c r="A3" s="9" t="s">
        <v>51</v>
      </c>
      <c r="B3" s="9">
        <v>0.45</v>
      </c>
    </row>
    <row r="4" spans="1:2" x14ac:dyDescent="0.2">
      <c r="A4" s="9" t="s">
        <v>97</v>
      </c>
      <c r="B4" s="11">
        <v>0.56000000000000005</v>
      </c>
    </row>
    <row r="5" spans="1:2" x14ac:dyDescent="0.2">
      <c r="A5" s="9" t="s">
        <v>98</v>
      </c>
      <c r="B5" s="9">
        <f>B2*B3*B4</f>
        <v>0.10836000000000001</v>
      </c>
    </row>
    <row r="6" spans="1:2" x14ac:dyDescent="0.2">
      <c r="A6" s="9" t="s">
        <v>99</v>
      </c>
      <c r="B6" s="9">
        <v>0.71</v>
      </c>
    </row>
    <row r="7" spans="1:2" x14ac:dyDescent="0.2">
      <c r="A7" s="9" t="s">
        <v>100</v>
      </c>
      <c r="B7" s="9">
        <v>0.76</v>
      </c>
    </row>
    <row r="8" spans="1:2" x14ac:dyDescent="0.2">
      <c r="A8" s="9" t="s">
        <v>101</v>
      </c>
      <c r="B8" s="9">
        <v>0.01</v>
      </c>
    </row>
    <row r="9" spans="1:2" x14ac:dyDescent="0.2">
      <c r="A9" s="9" t="s">
        <v>41</v>
      </c>
      <c r="B9" s="9">
        <v>0.04</v>
      </c>
    </row>
    <row r="10" spans="1:2" x14ac:dyDescent="0.2">
      <c r="A10" s="9" t="s">
        <v>102</v>
      </c>
      <c r="B10" s="9">
        <v>0.01</v>
      </c>
    </row>
    <row r="11" spans="1:2" x14ac:dyDescent="0.2">
      <c r="A11" s="9" t="s">
        <v>103</v>
      </c>
      <c r="B11" s="9">
        <v>0.02</v>
      </c>
    </row>
    <row r="12" spans="1:2" x14ac:dyDescent="0.2">
      <c r="A12" s="9" t="s">
        <v>104</v>
      </c>
      <c r="B12" s="9">
        <v>0.02</v>
      </c>
    </row>
    <row r="13" spans="1:2" x14ac:dyDescent="0.2">
      <c r="A13" s="9" t="s">
        <v>105</v>
      </c>
      <c r="B13" s="9">
        <v>0.01</v>
      </c>
    </row>
  </sheetData>
  <phoneticPr fontId="1"/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4"/>
  <sheetViews>
    <sheetView workbookViewId="0"/>
  </sheetViews>
  <sheetFormatPr defaultRowHeight="13.2" x14ac:dyDescent="0.2"/>
  <sheetData>
    <row r="1" spans="1:9" x14ac:dyDescent="0.2">
      <c r="A1" s="12" t="s">
        <v>106</v>
      </c>
      <c r="B1" s="13" t="s">
        <v>107</v>
      </c>
      <c r="C1" s="9"/>
      <c r="D1" s="14" t="s">
        <v>108</v>
      </c>
      <c r="E1" s="9"/>
      <c r="F1" s="9"/>
      <c r="G1" s="9"/>
      <c r="H1" s="9"/>
      <c r="I1" s="9"/>
    </row>
    <row r="2" spans="1:9" x14ac:dyDescent="0.2">
      <c r="A2" s="9" t="s">
        <v>109</v>
      </c>
      <c r="B2" s="9">
        <f>'03_月次計算'!B5</f>
        <v>6045000</v>
      </c>
      <c r="C2" s="9"/>
      <c r="D2" s="9" t="s">
        <v>110</v>
      </c>
      <c r="E2" s="9" t="s">
        <v>111</v>
      </c>
      <c r="F2" s="9" t="s">
        <v>112</v>
      </c>
      <c r="G2" s="9" t="s">
        <v>113</v>
      </c>
      <c r="H2" s="9" t="s">
        <v>114</v>
      </c>
      <c r="I2" s="9" t="s">
        <v>115</v>
      </c>
    </row>
    <row r="3" spans="1:9" x14ac:dyDescent="0.2">
      <c r="A3" s="9" t="s">
        <v>109</v>
      </c>
      <c r="B3" s="9">
        <f>'03_月次計算'!B3</f>
        <v>30</v>
      </c>
      <c r="C3" s="9"/>
      <c r="D3" s="9" t="s">
        <v>116</v>
      </c>
      <c r="E3" s="9">
        <f>MIN($B$2,2500000)</f>
        <v>2500000</v>
      </c>
      <c r="F3" s="9">
        <v>0.56000000000000005</v>
      </c>
      <c r="G3" s="9">
        <f>C3-$B$10</f>
        <v>0</v>
      </c>
      <c r="H3" s="9" t="e">
        <f>B3*D3</f>
        <v>#VALUE!</v>
      </c>
      <c r="I3" s="9" t="e">
        <f>SUM(H3:H6)</f>
        <v>#VALUE!</v>
      </c>
    </row>
    <row r="4" spans="1:9" x14ac:dyDescent="0.2">
      <c r="A4" s="9" t="s">
        <v>51</v>
      </c>
      <c r="B4" s="9">
        <f>IF(B3=0,0,B2/B3*365)</f>
        <v>73547500</v>
      </c>
      <c r="C4" s="9"/>
      <c r="D4" s="9" t="s">
        <v>117</v>
      </c>
      <c r="E4" s="9">
        <f>MAX(MIN($B$2-2500000,1500000),0)</f>
        <v>1500000</v>
      </c>
      <c r="F4" s="9">
        <v>0.66</v>
      </c>
      <c r="G4" s="9">
        <f>C4-$B$10</f>
        <v>0</v>
      </c>
      <c r="H4" s="9" t="e">
        <f>B4*D4</f>
        <v>#VALUE!</v>
      </c>
      <c r="I4" s="9"/>
    </row>
    <row r="5" spans="1:9" x14ac:dyDescent="0.2">
      <c r="A5" s="9" t="s">
        <v>118</v>
      </c>
      <c r="B5" s="9">
        <f>IF(B4&gt;0,B3/B4*365,0)</f>
        <v>1.488833746898263E-4</v>
      </c>
      <c r="C5" s="9"/>
      <c r="D5" s="9" t="s">
        <v>119</v>
      </c>
      <c r="E5" s="9">
        <f>MAX(MIN($B$2-4000000,1500000),0)</f>
        <v>1500000</v>
      </c>
      <c r="F5" s="9">
        <v>0.71</v>
      </c>
      <c r="G5" s="9">
        <f>C5-$B$10</f>
        <v>0</v>
      </c>
      <c r="H5" s="9" t="e">
        <f>B5*D5</f>
        <v>#VALUE!</v>
      </c>
      <c r="I5" s="9"/>
    </row>
    <row r="6" spans="1:9" x14ac:dyDescent="0.2">
      <c r="A6" s="9" t="s">
        <v>120</v>
      </c>
      <c r="B6" s="9" t="e">
        <f>MAX(MIN(GP,4000000)-2500000,0)</f>
        <v>#NAME?</v>
      </c>
      <c r="C6" s="9"/>
      <c r="D6" s="9" t="s">
        <v>121</v>
      </c>
      <c r="E6" s="9">
        <f>MAX($B$2-5500000,0)</f>
        <v>545000</v>
      </c>
      <c r="F6" s="9">
        <v>0.76</v>
      </c>
      <c r="G6" s="9">
        <f>C6-$B$10</f>
        <v>0</v>
      </c>
      <c r="H6" s="9" t="e">
        <f>B6*D6</f>
        <v>#NAME?</v>
      </c>
      <c r="I6" s="9"/>
    </row>
    <row r="7" spans="1:9" x14ac:dyDescent="0.2">
      <c r="A7" s="9" t="s">
        <v>122</v>
      </c>
      <c r="B7" s="9" t="e">
        <f>MAX(MIN(GP,5500000)-4000000,0)</f>
        <v>#NAME?</v>
      </c>
      <c r="C7" s="9"/>
      <c r="D7" s="9"/>
      <c r="E7" s="9"/>
      <c r="F7" s="9"/>
      <c r="G7" s="9"/>
      <c r="H7" s="9"/>
      <c r="I7" s="9"/>
    </row>
    <row r="8" spans="1:9" x14ac:dyDescent="0.2">
      <c r="A8" s="9" t="s">
        <v>123</v>
      </c>
      <c r="B8" s="9" t="e">
        <f>MAX(GP-5500000,0)</f>
        <v>#NAME?</v>
      </c>
      <c r="C8" s="9"/>
      <c r="D8" s="9"/>
      <c r="E8" s="9"/>
      <c r="F8" s="9"/>
      <c r="G8" s="9"/>
      <c r="H8" s="9"/>
      <c r="I8" s="9"/>
    </row>
    <row r="9" spans="1:9" x14ac:dyDescent="0.2">
      <c r="A9" s="9" t="s">
        <v>124</v>
      </c>
      <c r="B9" s="9">
        <f>MIN(B3,250)</f>
        <v>30</v>
      </c>
      <c r="C9" s="9"/>
      <c r="D9" s="9"/>
      <c r="E9" s="9"/>
      <c r="F9" s="9"/>
      <c r="G9" s="9"/>
      <c r="H9" s="9"/>
      <c r="I9" s="9"/>
    </row>
    <row r="10" spans="1:9" x14ac:dyDescent="0.2">
      <c r="A10" s="9" t="s">
        <v>125</v>
      </c>
      <c r="B10" s="9">
        <f>MAX(MIN(B3-250,150),0)</f>
        <v>0</v>
      </c>
      <c r="C10" s="9"/>
      <c r="D10" s="9"/>
      <c r="E10" s="9"/>
      <c r="F10" s="9"/>
      <c r="G10" s="9"/>
      <c r="H10" s="9"/>
      <c r="I10" s="9"/>
    </row>
    <row r="11" spans="1:9" x14ac:dyDescent="0.2">
      <c r="A11" s="9" t="s">
        <v>126</v>
      </c>
      <c r="B11" s="9">
        <f>MAX(MIN(B3-400,150),0)</f>
        <v>0</v>
      </c>
      <c r="C11" s="9"/>
      <c r="D11" s="9"/>
      <c r="E11" s="9"/>
      <c r="F11" s="9"/>
      <c r="G11" s="9"/>
      <c r="H11" s="9"/>
      <c r="I11" s="9"/>
    </row>
    <row r="12" spans="1:9" x14ac:dyDescent="0.2">
      <c r="A12" s="9" t="s">
        <v>127</v>
      </c>
      <c r="B12" s="9">
        <f>MAX(B3-550,0)</f>
        <v>0</v>
      </c>
      <c r="C12" s="9"/>
      <c r="D12" s="9"/>
      <c r="E12" s="9"/>
      <c r="F12" s="9"/>
      <c r="G12" s="9"/>
      <c r="H12" s="9"/>
      <c r="I12" s="9"/>
    </row>
    <row r="13" spans="1:9" x14ac:dyDescent="0.2">
      <c r="A13" s="9" t="s">
        <v>128</v>
      </c>
      <c r="B13" s="9" t="e">
        <f>対象GP×率1</f>
        <v>#NAME?</v>
      </c>
      <c r="C13" s="9"/>
      <c r="D13" s="9"/>
      <c r="E13" s="9"/>
      <c r="F13" s="9"/>
      <c r="G13" s="9"/>
      <c r="H13" s="9"/>
      <c r="I13" s="9"/>
    </row>
    <row r="14" spans="1:9" x14ac:dyDescent="0.2">
      <c r="A14" s="9" t="s">
        <v>129</v>
      </c>
      <c r="B14" s="9" t="e">
        <f>0.56-B7</f>
        <v>#NAME?</v>
      </c>
      <c r="C14" s="9"/>
      <c r="D14" s="9"/>
      <c r="E14" s="9"/>
      <c r="F14" s="9"/>
      <c r="G14" s="9"/>
      <c r="H14" s="9"/>
      <c r="I14" s="9"/>
    </row>
    <row r="15" spans="1:9" x14ac:dyDescent="0.2">
      <c r="A15" s="9" t="s">
        <v>130</v>
      </c>
      <c r="B15" s="9" t="e">
        <f>0.66-B7</f>
        <v>#NAME?</v>
      </c>
      <c r="C15" s="9"/>
      <c r="D15" s="9"/>
      <c r="E15" s="9"/>
      <c r="F15" s="9"/>
      <c r="G15" s="9"/>
      <c r="H15" s="9"/>
      <c r="I15" s="9"/>
    </row>
    <row r="16" spans="1:9" x14ac:dyDescent="0.2">
      <c r="A16" s="9" t="s">
        <v>99</v>
      </c>
      <c r="B16" s="9" t="e">
        <f>0.71-B7</f>
        <v>#NAME?</v>
      </c>
      <c r="C16" s="9"/>
      <c r="D16" s="9"/>
      <c r="E16" s="9"/>
      <c r="F16" s="9"/>
      <c r="G16" s="9"/>
      <c r="H16" s="9"/>
      <c r="I16" s="9"/>
    </row>
    <row r="17" spans="1:9" x14ac:dyDescent="0.2">
      <c r="A17" s="9" t="s">
        <v>100</v>
      </c>
      <c r="B17" s="9" t="e">
        <f>0.76-B7</f>
        <v>#NAME?</v>
      </c>
      <c r="C17" s="9"/>
      <c r="D17" s="9"/>
      <c r="E17" s="9"/>
      <c r="F17" s="9"/>
      <c r="G17" s="9"/>
      <c r="H17" s="9"/>
      <c r="I17" s="9"/>
    </row>
    <row r="18" spans="1:9" x14ac:dyDescent="0.2">
      <c r="A18" s="9"/>
      <c r="B18" s="9"/>
      <c r="C18" s="9"/>
      <c r="D18" s="9"/>
      <c r="E18" s="9"/>
      <c r="F18" s="9"/>
      <c r="G18" s="9"/>
      <c r="H18" s="9"/>
      <c r="I18" s="9"/>
    </row>
    <row r="19" spans="1:9" x14ac:dyDescent="0.2">
      <c r="A19" s="9" t="s">
        <v>131</v>
      </c>
      <c r="B19" s="9" t="e">
        <f>B9*B14</f>
        <v>#NAME?</v>
      </c>
      <c r="C19" s="9"/>
      <c r="D19" s="9"/>
      <c r="E19" s="9"/>
      <c r="F19" s="9"/>
      <c r="G19" s="9"/>
      <c r="H19" s="9"/>
      <c r="I19" s="9"/>
    </row>
    <row r="20" spans="1:9" x14ac:dyDescent="0.2">
      <c r="A20" s="9" t="s">
        <v>132</v>
      </c>
      <c r="B20" s="9" t="e">
        <f>B10*B15</f>
        <v>#NAME?</v>
      </c>
      <c r="C20" s="9"/>
      <c r="D20" s="9"/>
      <c r="E20" s="9"/>
      <c r="F20" s="9"/>
      <c r="G20" s="9"/>
      <c r="H20" s="9"/>
      <c r="I20" s="9"/>
    </row>
    <row r="21" spans="1:9" x14ac:dyDescent="0.2">
      <c r="A21" s="9" t="s">
        <v>133</v>
      </c>
      <c r="B21" s="9" t="e">
        <f>B11*B16</f>
        <v>#NAME?</v>
      </c>
      <c r="C21" s="9"/>
      <c r="D21" s="9"/>
      <c r="E21" s="9"/>
      <c r="F21" s="9"/>
      <c r="G21" s="9"/>
      <c r="H21" s="9"/>
      <c r="I21" s="9"/>
    </row>
    <row r="22" spans="1:9" x14ac:dyDescent="0.2">
      <c r="A22" s="9" t="s">
        <v>134</v>
      </c>
      <c r="B22" s="9" t="e">
        <f>B12*B17</f>
        <v>#NAME?</v>
      </c>
      <c r="C22" s="9"/>
      <c r="D22" s="9"/>
      <c r="E22" s="9"/>
      <c r="F22" s="9"/>
      <c r="G22" s="9"/>
      <c r="H22" s="9"/>
      <c r="I22" s="9"/>
    </row>
    <row r="23" spans="1:9" x14ac:dyDescent="0.2">
      <c r="A23" s="9"/>
      <c r="B23" s="9"/>
      <c r="C23" s="9"/>
      <c r="D23" s="9"/>
      <c r="E23" s="9"/>
      <c r="F23" s="9"/>
      <c r="G23" s="9"/>
      <c r="H23" s="9"/>
      <c r="I23" s="9"/>
    </row>
    <row r="24" spans="1:9" x14ac:dyDescent="0.2">
      <c r="A24" s="9" t="s">
        <v>115</v>
      </c>
      <c r="B24" s="9" t="e">
        <f>SUM(B19:B22)</f>
        <v>#NAME?</v>
      </c>
      <c r="C24" s="9"/>
      <c r="D24" s="9"/>
      <c r="E24" s="9"/>
      <c r="F24" s="9"/>
      <c r="G24" s="9"/>
      <c r="H24" s="9"/>
      <c r="I24" s="9"/>
    </row>
  </sheetData>
  <phoneticPr fontId="1"/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9"/>
  <sheetViews>
    <sheetView workbookViewId="0"/>
  </sheetViews>
  <sheetFormatPr defaultRowHeight="13.2" x14ac:dyDescent="0.2"/>
  <cols>
    <col min="1" max="1" width="27.88671875" bestFit="1" customWidth="1"/>
    <col min="2" max="2" width="8.5546875" bestFit="1" customWidth="1"/>
  </cols>
  <sheetData>
    <row r="1" spans="1:2" x14ac:dyDescent="0.2">
      <c r="A1" s="15" t="s">
        <v>9</v>
      </c>
      <c r="B1" s="16" t="s">
        <v>95</v>
      </c>
    </row>
    <row r="2" spans="1:2" x14ac:dyDescent="0.2">
      <c r="A2" s="9" t="s">
        <v>135</v>
      </c>
      <c r="B2" s="9">
        <f>'03_月次計算'!B5</f>
        <v>6045000</v>
      </c>
    </row>
    <row r="3" spans="1:2" x14ac:dyDescent="0.2">
      <c r="A3" s="9" t="s">
        <v>136</v>
      </c>
      <c r="B3" s="9">
        <v>0.45</v>
      </c>
    </row>
    <row r="4" spans="1:2" x14ac:dyDescent="0.2">
      <c r="A4" s="9" t="s">
        <v>137</v>
      </c>
      <c r="B4" s="9">
        <f>B2*B3</f>
        <v>2720250</v>
      </c>
    </row>
    <row r="5" spans="1:2" x14ac:dyDescent="0.2">
      <c r="A5" s="9" t="s">
        <v>122</v>
      </c>
      <c r="B5" s="9">
        <f>'05_共通計算'!B15</f>
        <v>0.1</v>
      </c>
    </row>
    <row r="6" spans="1:2" x14ac:dyDescent="0.2">
      <c r="A6" s="9" t="s">
        <v>138</v>
      </c>
      <c r="B6" s="9">
        <f>B2*B5</f>
        <v>604500</v>
      </c>
    </row>
    <row r="7" spans="1:2" x14ac:dyDescent="0.2">
      <c r="A7" s="9" t="s">
        <v>139</v>
      </c>
      <c r="B7" s="9">
        <f>B4-B6</f>
        <v>2115750</v>
      </c>
    </row>
    <row r="8" spans="1:2" x14ac:dyDescent="0.2">
      <c r="A8" s="9" t="s">
        <v>49</v>
      </c>
      <c r="B8" s="9">
        <f>IF('05_共通計算'!B3="はい",IF(B2&gt;=5500000,35000,200000-('03_月次計算'!B5*3%)),IF(B2&gt;=5500000,15000,70000-('03_月次計算'!B5*1%)))</f>
        <v>35000</v>
      </c>
    </row>
    <row r="9" spans="1:2" x14ac:dyDescent="0.2">
      <c r="A9" s="9" t="s">
        <v>140</v>
      </c>
      <c r="B9" s="9">
        <f>B7-B8</f>
        <v>2080750</v>
      </c>
    </row>
  </sheetData>
  <phoneticPr fontId="1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0"/>
  <sheetViews>
    <sheetView workbookViewId="0">
      <selection activeCell="B6" sqref="B6"/>
    </sheetView>
  </sheetViews>
  <sheetFormatPr defaultRowHeight="13.2" x14ac:dyDescent="0.2"/>
  <sheetData>
    <row r="1" spans="1:2" x14ac:dyDescent="0.2">
      <c r="A1" s="16" t="s">
        <v>9</v>
      </c>
      <c r="B1" s="16" t="s">
        <v>95</v>
      </c>
    </row>
    <row r="2" spans="1:2" x14ac:dyDescent="0.2">
      <c r="A2" s="9" t="s">
        <v>135</v>
      </c>
      <c r="B2" s="9">
        <f>'03_月次計算'!B5</f>
        <v>6045000</v>
      </c>
    </row>
    <row r="3" spans="1:2" x14ac:dyDescent="0.2">
      <c r="A3" s="9" t="s">
        <v>141</v>
      </c>
      <c r="B3" s="9">
        <f>MIN(B2,2500000)</f>
        <v>2500000</v>
      </c>
    </row>
    <row r="4" spans="1:2" x14ac:dyDescent="0.2">
      <c r="A4" s="9" t="s">
        <v>142</v>
      </c>
      <c r="B4" s="9">
        <f>MAX(MIN(B2-2500000,1500000),0)</f>
        <v>1500000</v>
      </c>
    </row>
    <row r="5" spans="1:2" x14ac:dyDescent="0.2">
      <c r="A5" s="9" t="s">
        <v>143</v>
      </c>
      <c r="B5" s="9">
        <f>MAX(MIN(B2-4000000,1500000),0)</f>
        <v>1500000</v>
      </c>
    </row>
    <row r="6" spans="1:2" x14ac:dyDescent="0.2">
      <c r="A6" s="9" t="s">
        <v>144</v>
      </c>
      <c r="B6" s="9">
        <f>MAX(B2-5500000,0)</f>
        <v>545000</v>
      </c>
    </row>
    <row r="7" spans="1:2" x14ac:dyDescent="0.2">
      <c r="A7" s="9" t="s">
        <v>122</v>
      </c>
      <c r="B7" s="9">
        <f>'05_共通計算'!B15</f>
        <v>0.1</v>
      </c>
    </row>
    <row r="8" spans="1:2" x14ac:dyDescent="0.2">
      <c r="A8" s="9" t="s">
        <v>129</v>
      </c>
      <c r="B8" s="9">
        <f>0.56</f>
        <v>0.56000000000000005</v>
      </c>
    </row>
    <row r="9" spans="1:2" x14ac:dyDescent="0.2">
      <c r="A9" s="9" t="s">
        <v>130</v>
      </c>
      <c r="B9" s="9">
        <f>0.66</f>
        <v>0.66</v>
      </c>
    </row>
    <row r="10" spans="1:2" x14ac:dyDescent="0.2">
      <c r="A10" s="9" t="s">
        <v>99</v>
      </c>
      <c r="B10" s="9">
        <f>0.71</f>
        <v>0.71</v>
      </c>
    </row>
    <row r="11" spans="1:2" x14ac:dyDescent="0.2">
      <c r="A11" s="9" t="s">
        <v>100</v>
      </c>
      <c r="B11" s="9">
        <f>0.76</f>
        <v>0.76</v>
      </c>
    </row>
    <row r="12" spans="1:2" x14ac:dyDescent="0.2">
      <c r="A12" s="9" t="s">
        <v>131</v>
      </c>
      <c r="B12" s="9">
        <f>B3*B8</f>
        <v>1400000.0000000002</v>
      </c>
    </row>
    <row r="13" spans="1:2" x14ac:dyDescent="0.2">
      <c r="A13" s="9" t="s">
        <v>132</v>
      </c>
      <c r="B13" s="9">
        <f>B4*B9</f>
        <v>990000</v>
      </c>
    </row>
    <row r="14" spans="1:2" x14ac:dyDescent="0.2">
      <c r="A14" s="9" t="s">
        <v>133</v>
      </c>
      <c r="B14" s="9">
        <f>B5*B10</f>
        <v>1065000</v>
      </c>
    </row>
    <row r="15" spans="1:2" x14ac:dyDescent="0.2">
      <c r="A15" s="9" t="s">
        <v>134</v>
      </c>
      <c r="B15" s="9">
        <f>B6*B11</f>
        <v>414200</v>
      </c>
    </row>
    <row r="16" spans="1:2" x14ac:dyDescent="0.2">
      <c r="A16" s="9" t="s">
        <v>145</v>
      </c>
      <c r="B16" s="9">
        <f>SUM(B12:B15)</f>
        <v>3869200</v>
      </c>
    </row>
    <row r="17" spans="1:2" x14ac:dyDescent="0.2">
      <c r="A17" s="9" t="s">
        <v>146</v>
      </c>
      <c r="B17" s="9">
        <f>'05_共通計算'!B16</f>
        <v>90000</v>
      </c>
    </row>
    <row r="18" spans="1:2" x14ac:dyDescent="0.2">
      <c r="A18" s="9" t="s">
        <v>147</v>
      </c>
      <c r="B18" s="9">
        <f>B16-('03_月次計算'!B5*B7)</f>
        <v>3264700</v>
      </c>
    </row>
    <row r="19" spans="1:2" x14ac:dyDescent="0.2">
      <c r="A19" s="9" t="s">
        <v>148</v>
      </c>
      <c r="B19" s="9">
        <f>IF('05_共通計算'!B3="はい",IF(B2&gt;=5500000,35000,200000-('03_月次計算'!B5*3%)),IF(B2&gt;=5500000,15000,70000-('03_月次計算'!B5*1%)))</f>
        <v>35000</v>
      </c>
    </row>
    <row r="20" spans="1:2" x14ac:dyDescent="0.2">
      <c r="A20" s="9" t="s">
        <v>149</v>
      </c>
      <c r="B20" s="9">
        <f>B18-B19-B17</f>
        <v>3139700</v>
      </c>
    </row>
  </sheetData>
  <phoneticPr fontId="1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5"/>
  <sheetViews>
    <sheetView workbookViewId="0"/>
  </sheetViews>
  <sheetFormatPr defaultRowHeight="13.2" x14ac:dyDescent="0.2"/>
  <sheetData>
    <row r="1" spans="1:4" x14ac:dyDescent="0.2">
      <c r="A1" s="17" t="s">
        <v>9</v>
      </c>
      <c r="B1" s="18" t="s">
        <v>95</v>
      </c>
      <c r="C1" s="9"/>
      <c r="D1" s="9" t="s">
        <v>150</v>
      </c>
    </row>
    <row r="2" spans="1:4" x14ac:dyDescent="0.2">
      <c r="A2" s="19" t="s">
        <v>5</v>
      </c>
      <c r="B2" s="9" t="str">
        <f>'01_ダッシュボード'!B5</f>
        <v>1号店</v>
      </c>
      <c r="C2" s="9"/>
      <c r="D2" s="9" t="s">
        <v>151</v>
      </c>
    </row>
    <row r="3" spans="1:4" x14ac:dyDescent="0.2">
      <c r="A3" s="19" t="s">
        <v>4</v>
      </c>
      <c r="B3" s="9" t="str">
        <f>'01_ダッシュボード'!B4</f>
        <v>はい</v>
      </c>
      <c r="C3" s="9"/>
      <c r="D3" s="9"/>
    </row>
    <row r="4" spans="1:4" x14ac:dyDescent="0.2">
      <c r="A4" s="19" t="s">
        <v>6</v>
      </c>
      <c r="B4" s="9" t="str">
        <f>'01_ダッシュボード'!B6</f>
        <v>15年以上</v>
      </c>
      <c r="C4" s="9"/>
      <c r="D4" s="9"/>
    </row>
    <row r="5" spans="1:4" x14ac:dyDescent="0.2">
      <c r="A5" s="19" t="s">
        <v>54</v>
      </c>
      <c r="B5" s="9">
        <f>'01_ダッシュボード'!B10</f>
        <v>650000</v>
      </c>
      <c r="C5" s="9"/>
      <c r="D5" s="9"/>
    </row>
    <row r="6" spans="1:4" x14ac:dyDescent="0.2">
      <c r="A6" s="19" t="s">
        <v>118</v>
      </c>
      <c r="B6" s="9">
        <f>'03_月次計算'!B6</f>
        <v>73547500</v>
      </c>
      <c r="C6" s="9"/>
      <c r="D6" s="9"/>
    </row>
    <row r="7" spans="1:4" x14ac:dyDescent="0.2">
      <c r="A7" s="19" t="s">
        <v>44</v>
      </c>
      <c r="B7" s="9" t="str">
        <f>'01_ダッシュボード'!B7</f>
        <v>C</v>
      </c>
      <c r="C7" s="9"/>
      <c r="D7" s="9"/>
    </row>
    <row r="8" spans="1:4" x14ac:dyDescent="0.2">
      <c r="A8" s="19" t="s">
        <v>16</v>
      </c>
      <c r="B8" s="9">
        <f>IF(B2="複数店",3%,0%)</f>
        <v>0</v>
      </c>
      <c r="C8" s="9"/>
      <c r="D8" s="9"/>
    </row>
    <row r="9" spans="1:4" x14ac:dyDescent="0.2">
      <c r="A9" s="19" t="s">
        <v>104</v>
      </c>
      <c r="B9" s="9">
        <f>IF(B3="はい",2%,0%)</f>
        <v>0.02</v>
      </c>
      <c r="C9" s="9"/>
      <c r="D9" s="9"/>
    </row>
    <row r="10" spans="1:4" x14ac:dyDescent="0.2">
      <c r="A10" s="19" t="s">
        <v>105</v>
      </c>
      <c r="B10" s="9">
        <f>1%</f>
        <v>0.01</v>
      </c>
      <c r="C10" s="9"/>
      <c r="D10" s="9"/>
    </row>
    <row r="11" spans="1:4" x14ac:dyDescent="0.2">
      <c r="A11" s="19" t="s">
        <v>152</v>
      </c>
      <c r="B11" s="9">
        <f>IF(AND(OR(B4="5年以上",B4="15年以上"),B5&gt;=300000),1%,0%)</f>
        <v>0.01</v>
      </c>
      <c r="C11" s="9"/>
      <c r="D11" s="9"/>
    </row>
    <row r="12" spans="1:4" x14ac:dyDescent="0.2">
      <c r="A12" s="19" t="s">
        <v>153</v>
      </c>
      <c r="B12" s="9">
        <f>IF(B4="15年以上",4%,0%)</f>
        <v>0.04</v>
      </c>
      <c r="C12" s="9"/>
      <c r="D12" s="9"/>
    </row>
    <row r="13" spans="1:4" x14ac:dyDescent="0.2">
      <c r="A13" s="19" t="s">
        <v>154</v>
      </c>
      <c r="B13" s="9">
        <f>IF(AND(OR(B4="5年以上",B4="15年以上"),B6&gt;=50000000,B6&lt;70000000),1%,0%)</f>
        <v>0</v>
      </c>
      <c r="C13" s="9"/>
      <c r="D13" s="9"/>
    </row>
    <row r="14" spans="1:4" x14ac:dyDescent="0.2">
      <c r="A14" s="19" t="s">
        <v>155</v>
      </c>
      <c r="B14" s="9">
        <f>IF(AND(OR(B4="5年以上",B4="15年以上"),B6&gt;=70000000),2%,0%)</f>
        <v>0.02</v>
      </c>
      <c r="C14" s="9"/>
      <c r="D14" s="9"/>
    </row>
    <row r="15" spans="1:4" x14ac:dyDescent="0.2">
      <c r="A15" s="19" t="s">
        <v>122</v>
      </c>
      <c r="B15" s="9">
        <f>IF('01_ダッシュボード'!B3="新制度",0,SUM(B8:B14))</f>
        <v>0.1</v>
      </c>
      <c r="C15" s="9"/>
      <c r="D15" s="9"/>
    </row>
    <row r="16" spans="1:4" x14ac:dyDescent="0.2">
      <c r="A16" s="19" t="s">
        <v>52</v>
      </c>
      <c r="B16" s="9">
        <f>IF('01_ダッシュボード'!B3="新制度",0,IF(B7="A",160000,IF(B7="B",130000,IF(B7="C",90000,0))))</f>
        <v>90000</v>
      </c>
      <c r="C16" s="9"/>
      <c r="D16" s="9"/>
    </row>
    <row r="17" spans="1:4" x14ac:dyDescent="0.2">
      <c r="A17" s="19"/>
      <c r="B17" s="9"/>
      <c r="C17" s="9"/>
      <c r="D17" s="9"/>
    </row>
    <row r="18" spans="1:4" x14ac:dyDescent="0.2">
      <c r="A18" s="19"/>
      <c r="B18" s="9"/>
      <c r="C18" s="9"/>
      <c r="D18" s="9"/>
    </row>
    <row r="19" spans="1:4" x14ac:dyDescent="0.2">
      <c r="A19" s="19"/>
      <c r="B19" s="9"/>
      <c r="C19" s="9"/>
      <c r="D19" s="9"/>
    </row>
    <row r="20" spans="1:4" x14ac:dyDescent="0.2">
      <c r="A20" s="19"/>
      <c r="B20" s="9"/>
      <c r="C20" s="9"/>
      <c r="D20" s="9"/>
    </row>
    <row r="21" spans="1:4" x14ac:dyDescent="0.2">
      <c r="A21" s="19"/>
      <c r="B21" s="9"/>
      <c r="C21" s="9"/>
      <c r="D21" s="9"/>
    </row>
    <row r="22" spans="1:4" x14ac:dyDescent="0.2">
      <c r="A22" s="20"/>
      <c r="B22" s="9"/>
      <c r="C22" s="9"/>
      <c r="D22" s="9"/>
    </row>
    <row r="23" spans="1:4" x14ac:dyDescent="0.2">
      <c r="A23" s="20"/>
      <c r="B23" s="9"/>
      <c r="C23" s="9"/>
      <c r="D23" s="9"/>
    </row>
    <row r="24" spans="1:4" x14ac:dyDescent="0.2">
      <c r="A24" s="9"/>
      <c r="B24" s="9"/>
      <c r="C24" s="9"/>
      <c r="D24" s="9"/>
    </row>
    <row r="25" spans="1:4" x14ac:dyDescent="0.2">
      <c r="A25" s="20"/>
      <c r="B25" s="9"/>
      <c r="C25" s="9"/>
      <c r="D25" s="9"/>
    </row>
  </sheetData>
  <phoneticPr fontId="1"/>
  <dataValidations count="1">
    <dataValidation type="list" sqref="B14" xr:uid="{00000000-0002-0000-0600-000000000000}">
      <formula1>"はい,いいえ"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7"/>
  <sheetViews>
    <sheetView workbookViewId="0"/>
  </sheetViews>
  <sheetFormatPr defaultRowHeight="13.2" x14ac:dyDescent="0.2"/>
  <sheetData>
    <row r="1" spans="1:2" x14ac:dyDescent="0.2">
      <c r="A1" s="21" t="s">
        <v>9</v>
      </c>
      <c r="B1" s="9" t="s">
        <v>156</v>
      </c>
    </row>
    <row r="2" spans="1:2" x14ac:dyDescent="0.2">
      <c r="A2" s="22" t="s">
        <v>157</v>
      </c>
      <c r="B2" s="9">
        <f>'01_ダッシュボード'!B10</f>
        <v>650000</v>
      </c>
    </row>
    <row r="3" spans="1:2" x14ac:dyDescent="0.2">
      <c r="A3" s="22" t="s">
        <v>51</v>
      </c>
      <c r="B3" s="9">
        <f>'01_ダッシュボード'!B9</f>
        <v>30</v>
      </c>
    </row>
    <row r="4" spans="1:2" x14ac:dyDescent="0.2">
      <c r="A4" s="22" t="s">
        <v>158</v>
      </c>
      <c r="B4" s="9">
        <f>'01_ダッシュボード'!B11</f>
        <v>0.31</v>
      </c>
    </row>
    <row r="5" spans="1:2" x14ac:dyDescent="0.2">
      <c r="A5" s="22" t="s">
        <v>98</v>
      </c>
      <c r="B5" s="9">
        <f>B2*B3*B4</f>
        <v>6045000</v>
      </c>
    </row>
    <row r="6" spans="1:2" x14ac:dyDescent="0.2">
      <c r="A6" s="9" t="s">
        <v>118</v>
      </c>
      <c r="B6" s="9">
        <f>IF(B3&gt;0,B5/B3*365,0)</f>
        <v>73547500</v>
      </c>
    </row>
    <row r="7" spans="1:2" x14ac:dyDescent="0.2">
      <c r="A7" s="9" t="s">
        <v>159</v>
      </c>
      <c r="B7" s="9">
        <f>B2*365</f>
        <v>237250000</v>
      </c>
    </row>
  </sheetData>
  <phoneticPr fontId="1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2"/>
  <sheetViews>
    <sheetView showGridLines="0" workbookViewId="0">
      <pane ySplit="12" topLeftCell="A13" activePane="bottomLeft" state="frozen"/>
      <selection pane="bottomLeft" activeCell="B28" sqref="B28"/>
    </sheetView>
  </sheetViews>
  <sheetFormatPr defaultRowHeight="13.2" x14ac:dyDescent="0.2"/>
  <cols>
    <col min="1" max="1" width="24" customWidth="1"/>
    <col min="2" max="6" width="16" customWidth="1"/>
  </cols>
  <sheetData>
    <row r="1" spans="1:4" ht="19.2" customHeight="1" x14ac:dyDescent="0.2">
      <c r="A1" s="84" t="s">
        <v>0</v>
      </c>
      <c r="B1" s="85"/>
      <c r="C1" s="85"/>
      <c r="D1" s="85"/>
    </row>
    <row r="2" spans="1:4" x14ac:dyDescent="0.2">
      <c r="A2" s="86" t="s">
        <v>1</v>
      </c>
      <c r="B2" s="87"/>
      <c r="C2" s="87"/>
      <c r="D2" s="87"/>
    </row>
    <row r="3" spans="1:4" x14ac:dyDescent="0.2">
      <c r="A3" s="28" t="s">
        <v>2</v>
      </c>
      <c r="B3" s="81"/>
      <c r="C3" s="82"/>
      <c r="D3" s="83"/>
    </row>
    <row r="4" spans="1:4" x14ac:dyDescent="0.2">
      <c r="A4" s="28" t="s">
        <v>3</v>
      </c>
      <c r="B4" s="81" t="str">
        <f>'01_ダッシュボード'!B3</f>
        <v>Cタイプ</v>
      </c>
      <c r="C4" s="82"/>
      <c r="D4" s="83"/>
    </row>
    <row r="5" spans="1:4" x14ac:dyDescent="0.2">
      <c r="A5" s="28" t="s">
        <v>4</v>
      </c>
      <c r="B5" s="81" t="str">
        <f>'01_ダッシュボード'!B4</f>
        <v>はい</v>
      </c>
      <c r="C5" s="82"/>
      <c r="D5" s="83"/>
    </row>
    <row r="6" spans="1:4" x14ac:dyDescent="0.2">
      <c r="A6" s="28" t="s">
        <v>5</v>
      </c>
      <c r="B6" s="81" t="str">
        <f>'01_ダッシュボード'!B5</f>
        <v>1号店</v>
      </c>
      <c r="C6" s="82"/>
      <c r="D6" s="83"/>
    </row>
    <row r="7" spans="1:4" x14ac:dyDescent="0.2">
      <c r="A7" s="28" t="s">
        <v>6</v>
      </c>
      <c r="B7" s="81" t="str">
        <f>'01_ダッシュボード'!B6</f>
        <v>15年以上</v>
      </c>
      <c r="C7" s="82"/>
      <c r="D7" s="83"/>
    </row>
    <row r="8" spans="1:4" x14ac:dyDescent="0.2">
      <c r="A8" s="28" t="s">
        <v>7</v>
      </c>
      <c r="B8" s="81">
        <f>'01_ダッシュボード'!B16</f>
        <v>2.5000000000000001E-2</v>
      </c>
      <c r="C8" s="82"/>
      <c r="D8" s="83"/>
    </row>
    <row r="9" spans="1:4" x14ac:dyDescent="0.2">
      <c r="A9" s="28" t="s">
        <v>8</v>
      </c>
      <c r="B9" s="81">
        <f>'01_ダッシュボード'!B19</f>
        <v>60000</v>
      </c>
      <c r="C9" s="82"/>
      <c r="D9" s="83"/>
    </row>
    <row r="10" spans="1:4" x14ac:dyDescent="0.2">
      <c r="A10" s="28"/>
      <c r="B10" s="81"/>
      <c r="C10" s="82"/>
      <c r="D10" s="83"/>
    </row>
    <row r="11" spans="1:4" x14ac:dyDescent="0.2">
      <c r="A11" s="29"/>
      <c r="B11" s="29"/>
      <c r="C11" s="29"/>
      <c r="D11" s="29"/>
    </row>
    <row r="12" spans="1:4" x14ac:dyDescent="0.2">
      <c r="A12" s="30" t="s">
        <v>9</v>
      </c>
      <c r="B12" s="30" t="s">
        <v>10</v>
      </c>
      <c r="C12" s="30" t="s">
        <v>11</v>
      </c>
      <c r="D12" s="30" t="s">
        <v>12</v>
      </c>
    </row>
    <row r="13" spans="1:4" x14ac:dyDescent="0.2">
      <c r="A13" s="31" t="s">
        <v>13</v>
      </c>
      <c r="B13" s="32">
        <f>'03_月次計算'!B5</f>
        <v>6045000</v>
      </c>
      <c r="C13" s="32">
        <f>'03_月次計算'!B5</f>
        <v>6045000</v>
      </c>
      <c r="D13" s="32">
        <f t="shared" ref="D13:D20" si="0">C13-B13</f>
        <v>0</v>
      </c>
    </row>
    <row r="14" spans="1:4" x14ac:dyDescent="0.2">
      <c r="A14" s="31" t="s">
        <v>14</v>
      </c>
      <c r="B14" s="32">
        <f>'04C_C契約チャージエンジン'!B20</f>
        <v>3139700</v>
      </c>
      <c r="C14" s="32">
        <f>'04N_新契約チャージエンジン'!B10</f>
        <v>3290150</v>
      </c>
      <c r="D14" s="32">
        <f t="shared" si="0"/>
        <v>150450</v>
      </c>
    </row>
    <row r="15" spans="1:4" x14ac:dyDescent="0.2">
      <c r="A15" s="31" t="s">
        <v>15</v>
      </c>
      <c r="B15" s="32">
        <f>0</f>
        <v>0</v>
      </c>
      <c r="C15" s="32">
        <f>'04N_新契約チャージエンジン'!B8</f>
        <v>200000</v>
      </c>
      <c r="D15" s="32">
        <f t="shared" si="0"/>
        <v>200000</v>
      </c>
    </row>
    <row r="16" spans="1:4" x14ac:dyDescent="0.2">
      <c r="A16" s="31" t="s">
        <v>16</v>
      </c>
      <c r="B16" s="32">
        <f>0</f>
        <v>0</v>
      </c>
      <c r="C16" s="32">
        <f>'04N_新契約チャージエンジン'!B9</f>
        <v>0</v>
      </c>
      <c r="D16" s="32">
        <f t="shared" si="0"/>
        <v>0</v>
      </c>
    </row>
    <row r="17" spans="1:4" x14ac:dyDescent="0.2">
      <c r="A17" s="31" t="s">
        <v>17</v>
      </c>
      <c r="B17" s="32">
        <f>'01_ダッシュボード'!B19</f>
        <v>60000</v>
      </c>
      <c r="C17" s="32">
        <f>'04N_新契約チャージエンジン'!B11</f>
        <v>150000</v>
      </c>
      <c r="D17" s="32">
        <f t="shared" si="0"/>
        <v>90000</v>
      </c>
    </row>
    <row r="18" spans="1:4" x14ac:dyDescent="0.2">
      <c r="A18" s="31" t="s">
        <v>18</v>
      </c>
      <c r="B18" s="32">
        <f>'01_ダッシュボード'!F3*'01_ダッシュボード'!B16*0.85</f>
        <v>414375</v>
      </c>
      <c r="C18" s="32">
        <f>'01_ダッシュボード'!F3*'01_ダッシュボード'!B16*0.5</f>
        <v>243750</v>
      </c>
      <c r="D18" s="32">
        <f t="shared" si="0"/>
        <v>-170625</v>
      </c>
    </row>
    <row r="19" spans="1:4" x14ac:dyDescent="0.2">
      <c r="A19" s="33" t="s">
        <v>19</v>
      </c>
      <c r="B19" s="33">
        <f>'01_ダッシュボード'!F13</f>
        <v>495925</v>
      </c>
      <c r="C19" s="33">
        <f>B19+(B17-C17)+(B18-C18)+(B14-C14)</f>
        <v>426100</v>
      </c>
      <c r="D19" s="33">
        <f t="shared" si="0"/>
        <v>-69825</v>
      </c>
    </row>
    <row r="20" spans="1:4" x14ac:dyDescent="0.2">
      <c r="A20" s="33" t="s">
        <v>20</v>
      </c>
      <c r="B20" s="33">
        <f>B19</f>
        <v>495925</v>
      </c>
      <c r="C20" s="33">
        <f>C19</f>
        <v>426100</v>
      </c>
      <c r="D20" s="33">
        <f t="shared" si="0"/>
        <v>-69825</v>
      </c>
    </row>
    <row r="21" spans="1:4" x14ac:dyDescent="0.2">
      <c r="A21" s="26" t="s">
        <v>21</v>
      </c>
      <c r="B21" s="25"/>
      <c r="C21" s="25"/>
      <c r="D21" s="25"/>
    </row>
    <row r="22" spans="1:4" x14ac:dyDescent="0.2">
      <c r="A22" s="27" t="s">
        <v>22</v>
      </c>
    </row>
  </sheetData>
  <sheetProtection sheet="1"/>
  <mergeCells count="10">
    <mergeCell ref="B10:D10"/>
    <mergeCell ref="A1:D1"/>
    <mergeCell ref="B3:D3"/>
    <mergeCell ref="B5:D5"/>
    <mergeCell ref="B8:D8"/>
    <mergeCell ref="B4:D4"/>
    <mergeCell ref="B9:D9"/>
    <mergeCell ref="A2:D2"/>
    <mergeCell ref="B7:D7"/>
    <mergeCell ref="B6:D6"/>
  </mergeCells>
  <phoneticPr fontId="1"/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はじめに</vt:lpstr>
      <vt:lpstr>01_ダッシュボード</vt:lpstr>
      <vt:lpstr>06_マスタ</vt:lpstr>
      <vt:lpstr>04A_A契約チャージエンジン</vt:lpstr>
      <vt:lpstr>05_共通計算</vt:lpstr>
      <vt:lpstr>03_月次計算</vt:lpstr>
      <vt:lpstr>07_比較</vt:lpstr>
      <vt:lpstr>'07_比較'!Print_Area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endo.y0221@gmail.com</cp:lastModifiedBy>
  <dcterms:created xsi:type="dcterms:W3CDTF">2026-07-02T12:37:10Z</dcterms:created>
  <dcterms:modified xsi:type="dcterms:W3CDTF">2026-07-27T22:51:58Z</dcterms:modified>
</cp:coreProperties>
</file>